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ergystrategy-my.sharepoint.com/personal/jbieber_energystrat_com/Documents/UAE Enbridge 2025 Rate Case/UAE Testimony/Phase I/Updated RR model &amp; exhibits/"/>
    </mc:Choice>
  </mc:AlternateContent>
  <xr:revisionPtr revIDLastSave="5" documentId="13_ncr:1_{BCC39618-A869-4900-B90D-526CCDE9FD76}" xr6:coauthVersionLast="47" xr6:coauthVersionMax="47" xr10:uidLastSave="{923EF207-95DF-400C-BDFA-5D6B89F2C014}"/>
  <bookViews>
    <workbookView xWindow="28680" yWindow="-120" windowWidth="29040" windowHeight="15720" firstSheet="7" activeTab="13" xr2:uid="{08061496-F3F3-4493-8E5C-F610B8DF672C}"/>
  </bookViews>
  <sheets>
    <sheet name="UAE RR 1.1, p. 1" sheetId="16" r:id="rId1"/>
    <sheet name="UAE RR 1.1, p. 2" sheetId="17" r:id="rId2"/>
    <sheet name="UAE RR 1.1, p. 3" sheetId="25" r:id="rId3"/>
    <sheet name="UAE RR 1.2, p. 1" sheetId="4" r:id="rId4"/>
    <sheet name="UAE RR 1.2, p. 2" sheetId="5" r:id="rId5"/>
    <sheet name="UAE RR 1.3, p. 1" sheetId="18" r:id="rId6"/>
    <sheet name="UAE RR 1.3, p. 2" sheetId="3" r:id="rId7"/>
    <sheet name="UAE RR 1.3, p. 3" sheetId="2" r:id="rId8"/>
    <sheet name="UAE RR 1.4, p. 1" sheetId="23" r:id="rId9"/>
    <sheet name="UAE RR 1.4, p. 2" sheetId="19" r:id="rId10"/>
    <sheet name="UAE RR 1.4, p. 3" sheetId="20" r:id="rId11"/>
    <sheet name="UAE RR 1.4, p. 4" sheetId="21" r:id="rId12"/>
    <sheet name="UAE RR 1.4, p. 5" sheetId="22" r:id="rId13"/>
    <sheet name="UAE RR 1.5, p. 1" sheetId="24" r:id="rId14"/>
    <sheet name="UAE RR 1.5, p. 2" sheetId="6" r:id="rId15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m">#REF!</definedName>
    <definedName name="\VVVVV">#REF!</definedName>
    <definedName name="\XXXXX">#REF!</definedName>
    <definedName name="_016___2022">#REF!</definedName>
    <definedName name="A1STA">#REF!</definedName>
    <definedName name="ADDA">#REF!</definedName>
    <definedName name="ADDA1">#REF!</definedName>
    <definedName name="ADDA2">#REF!</definedName>
    <definedName name="ADDATEST">#REF!</definedName>
    <definedName name="ADJA">#REF!</definedName>
    <definedName name="Adjustments">#REF!</definedName>
    <definedName name="Admin_Fee">#REF!</definedName>
    <definedName name="Alloc_Cust_Assist">#REF!</definedName>
    <definedName name="Alloc_Dist_Throu">#REF!</definedName>
    <definedName name="Alloc_Meters_Regs">#REF!</definedName>
    <definedName name="Alloc_Peak_Day">#REF!</definedName>
    <definedName name="Alloc_SD_Mains">#REF!</definedName>
    <definedName name="Alloc_Serv_Lines">#REF!</definedName>
    <definedName name="ALLOCATIONS" localSheetId="1">#REF!</definedName>
    <definedName name="ALLOCATIONS" localSheetId="2">#REF!</definedName>
    <definedName name="ALLOCATIONS" localSheetId="4">#REF!</definedName>
    <definedName name="ALLOCATIONS" localSheetId="9">#REF!</definedName>
    <definedName name="ALLOCATIONS" localSheetId="10">#REF!</definedName>
    <definedName name="ALLOCATIONS" localSheetId="11">#REF!</definedName>
    <definedName name="ALLOCATIONS" localSheetId="12">#REF!</definedName>
    <definedName name="ALLOCATIONS">#REF!</definedName>
    <definedName name="AllowedROE">#REF!</definedName>
    <definedName name="AllPages">#REF!</definedName>
    <definedName name="AM1A">#REF!</definedName>
    <definedName name="AM2A">#REF!</definedName>
    <definedName name="AM3A">#REF!</definedName>
    <definedName name="AM4A">#REF!</definedName>
    <definedName name="AMDA">#REF!</definedName>
    <definedName name="AP1A">#REF!</definedName>
    <definedName name="APLA">#REF!</definedName>
    <definedName name="ASPA">#REF!</definedName>
    <definedName name="ASTA">#REF!</definedName>
    <definedName name="AVG_INCENTIVE">#REF!</definedName>
    <definedName name="B12A">#REF!</definedName>
    <definedName name="B13A">#REF!</definedName>
    <definedName name="B17A">#REF!</definedName>
    <definedName name="BadDebtScenario">#REF!</definedName>
    <definedName name="Base_NGV">#REF!</definedName>
    <definedName name="Basic_Service_Fee">#REF!</definedName>
    <definedName name="BCEA">#REF!</definedName>
    <definedName name="BGLA">#REF!</definedName>
    <definedName name="blahblah">"V2001-12-31"</definedName>
    <definedName name="Block_out">#REF!</definedName>
    <definedName name="Block_Out_Current">#REF!</definedName>
    <definedName name="Block_Out_Proposed2030">#REF!</definedName>
    <definedName name="Block_Out_Proposed2045">#REF!</definedName>
    <definedName name="Block_Out_Proposed3030">#REF!</definedName>
    <definedName name="Block_Out_Proposed3045">#REF!</definedName>
    <definedName name="BMFA">#REF!</definedName>
    <definedName name="booked">#REF!,#REF!,#REF!,#REF!,#REF!,#REF!,#REF!,#REF!,#REF!</definedName>
    <definedName name="BPYA">#REF!</definedName>
    <definedName name="BQCA">#REF!</definedName>
    <definedName name="BQGA">#REF!</definedName>
    <definedName name="BQIA">#REF!</definedName>
    <definedName name="BQPA">#REF!</definedName>
    <definedName name="BQRA">#REF!</definedName>
    <definedName name="BQTA">#REF!</definedName>
    <definedName name="BUDG">#REF!</definedName>
    <definedName name="budinc">#REF!</definedName>
    <definedName name="budinc2">#REF!</definedName>
    <definedName name="BURA">#REF!</definedName>
    <definedName name="BWEA">#REF!</definedName>
    <definedName name="CapStr">#REF!</definedName>
    <definedName name="CC1A">#REF!</definedName>
    <definedName name="CC2A">#REF!</definedName>
    <definedName name="CET">#REF!</definedName>
    <definedName name="CET_PER1">#REF!</definedName>
    <definedName name="CET_PER10">#REF!</definedName>
    <definedName name="CET_PER11">#REF!</definedName>
    <definedName name="CET_PER12">#REF!</definedName>
    <definedName name="CET_PER2">#REF!</definedName>
    <definedName name="CET_PER3">#REF!</definedName>
    <definedName name="CET_PER4">#REF!</definedName>
    <definedName name="CET_PER5">#REF!</definedName>
    <definedName name="CET_PER6">#REF!</definedName>
    <definedName name="CET_PER7">#REF!</definedName>
    <definedName name="CET_PER8">#REF!</definedName>
    <definedName name="CET_PER9">#REF!</definedName>
    <definedName name="clear1">#REF!,#REF!,#REF!,#REF!,#REF!,#REF!</definedName>
    <definedName name="clearup">#REF!,#REF!,#REF!,#REF!,#REF!,#REF!</definedName>
    <definedName name="CM1A">#REF!</definedName>
    <definedName name="CM2A">#REF!</definedName>
    <definedName name="CO_I4">#REF!</definedName>
    <definedName name="COI4CUSTOMERS">#REF!</definedName>
    <definedName name="COI4DNG" localSheetId="7">#REF!</definedName>
    <definedName name="COI4DNG">#REF!</definedName>
    <definedName name="COI4DTH" localSheetId="7">#REF!</definedName>
    <definedName name="COI4DTH">#REF!</definedName>
    <definedName name="COI4GAS" localSheetId="7">#REF!</definedName>
    <definedName name="COI4GAS">#REF!</definedName>
    <definedName name="COICCUSTOMERS">#REF!</definedName>
    <definedName name="COICDNG" localSheetId="7">#REF!</definedName>
    <definedName name="COICDNG">#REF!</definedName>
    <definedName name="COICDTH" localSheetId="7">#REF!</definedName>
    <definedName name="COICDTH">#REF!</definedName>
    <definedName name="COICGAS" localSheetId="7">#REF!</definedName>
    <definedName name="COICGAS">#REF!</definedName>
    <definedName name="CRTA">#REF!</definedName>
    <definedName name="CTI">#REF!</definedName>
    <definedName name="cumo">#REF!</definedName>
    <definedName name="d">#REF!</definedName>
    <definedName name="DATA1">#REF!</definedName>
    <definedName name="DATA10">#REF!</definedName>
    <definedName name="DATA11">#REF!</definedName>
    <definedName name="DATA12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entry">#REF!,#REF!,#REF!,#REF!</definedName>
    <definedName name="date1">#REF!</definedName>
    <definedName name="dblink" localSheetId="7">#REF!</definedName>
    <definedName name="dblink">#REF!</definedName>
    <definedName name="DC1A">#REF!</definedName>
    <definedName name="DC2A">#REF!</definedName>
    <definedName name="DC3A">#REF!</definedName>
    <definedName name="DC4A">#REF!</definedName>
    <definedName name="DC5A">#REF!</definedName>
    <definedName name="DC6A">#REF!</definedName>
    <definedName name="DC7A">#REF!</definedName>
    <definedName name="DC8A">#REF!</definedName>
    <definedName name="DC9A">#REF!</definedName>
    <definedName name="delete1">#REF!,#REF!,#REF!,#REF!</definedName>
    <definedName name="deleteNetRev1">#REF!,#REF!,#REF!,#REF!,#REF!</definedName>
    <definedName name="deleteNT1">#REF!,#REF!,#REF!,#REF!,#REF!,#REF!</definedName>
    <definedName name="DEPA">#REF!</definedName>
    <definedName name="DES">#REF!</definedName>
    <definedName name="descr">#REF!</definedName>
    <definedName name="DI1A">#REF!</definedName>
    <definedName name="DISA">#REF!</definedName>
    <definedName name="DO1A">#REF!</definedName>
    <definedName name="DON_ADJ" localSheetId="1">#REF!</definedName>
    <definedName name="DON_ADJ" localSheetId="2">#REF!</definedName>
    <definedName name="DON_ADJ" localSheetId="4">#REF!</definedName>
    <definedName name="DON_ADJ" localSheetId="9">#REF!</definedName>
    <definedName name="DON_ADJ" localSheetId="10">#REF!</definedName>
    <definedName name="DON_ADJ" localSheetId="11">#REF!</definedName>
    <definedName name="DON_ADJ" localSheetId="12">#REF!</definedName>
    <definedName name="DON_ADJ">#REF!</definedName>
    <definedName name="DONATIONSSCENARIO">#REF!</definedName>
    <definedName name="DS1A">#REF!</definedName>
    <definedName name="DS2A">#REF!</definedName>
    <definedName name="DSM_PER1">#REF!</definedName>
    <definedName name="DSM_PER10">#REF!</definedName>
    <definedName name="DSM_PER11">#REF!</definedName>
    <definedName name="DSM_PER12">#REF!</definedName>
    <definedName name="DSM_PER2">#REF!</definedName>
    <definedName name="DSM_PER3">#REF!</definedName>
    <definedName name="DSM_PER4">#REF!</definedName>
    <definedName name="DSM_PER5">#REF!</definedName>
    <definedName name="DSM_PER6">#REF!</definedName>
    <definedName name="DSM_PER7">#REF!</definedName>
    <definedName name="DSM_PER8">#REF!</definedName>
    <definedName name="DSM_PER9">#REF!</definedName>
    <definedName name="ED1A">#REF!</definedName>
    <definedName name="ED2A">#REF!</definedName>
    <definedName name="ED3A">#REF!</definedName>
    <definedName name="EIRA">#REF!</definedName>
    <definedName name="elimbudfcst">#REF!</definedName>
    <definedName name="elimforecast">#REF!</definedName>
    <definedName name="Energy_Efficiency">#REF!</definedName>
    <definedName name="events">#REF!</definedName>
    <definedName name="EXCA">#REF!</definedName>
    <definedName name="Existing_Admin_Primary">#REF!</definedName>
    <definedName name="Existing_Admin_Secondary">#REF!</definedName>
    <definedName name="Existing_BSF">#REF!</definedName>
    <definedName name="Existing_FS">#REF!</definedName>
    <definedName name="Existing_FT1">#REF!</definedName>
    <definedName name="Existing_FT1_FirmDemandCharge">#REF!</definedName>
    <definedName name="Existing_GS">#REF!</definedName>
    <definedName name="Existing_IS">#REF!</definedName>
    <definedName name="Existing_MT">#REF!</definedName>
    <definedName name="Existing_NGV">#REF!</definedName>
    <definedName name="Existing_TS">#REF!</definedName>
    <definedName name="Existing_TS_FirmDemandCharge">#REF!</definedName>
    <definedName name="f">#REF!</definedName>
    <definedName name="F1T_DNG_WY_PER1">#REF!</definedName>
    <definedName name="F1T_DNG_WY_PER10">#REF!</definedName>
    <definedName name="F1T_DNG_WY_PER11">#REF!</definedName>
    <definedName name="F1T_DNG_WY_PER12">#REF!</definedName>
    <definedName name="F1T_DNG_WY_PER2">#REF!</definedName>
    <definedName name="F1T_DNG_WY_PER3">#REF!</definedName>
    <definedName name="F1T_DNG_WY_PER4">#REF!</definedName>
    <definedName name="F1T_DNG_WY_PER5">#REF!</definedName>
    <definedName name="F1T_DNG_WY_PER6">#REF!</definedName>
    <definedName name="F1T_DNG_WY_PER7">#REF!</definedName>
    <definedName name="F1T_DNG_WY_PER8">#REF!</definedName>
    <definedName name="F1T_DNG_WY_PER9">#REF!</definedName>
    <definedName name="F3_COM_UT_PER7">#REF!</definedName>
    <definedName name="F3_DNG_UT_PER7">#REF!</definedName>
    <definedName name="F3_SNG_UT_PER7">#REF!</definedName>
    <definedName name="F4_COM_UT_PER7">#REF!</definedName>
    <definedName name="F4_DNG_UT_PER7">#REF!</definedName>
    <definedName name="F4_SNG_UT_PER7">#REF!</definedName>
    <definedName name="F4_WNA_UT_PER7">#REF!</definedName>
    <definedName name="FH1A">#REF!</definedName>
    <definedName name="FHEA">#REF!</definedName>
    <definedName name="FHLA">#REF!</definedName>
    <definedName name="FILA">#REF!</definedName>
    <definedName name="Firm_Demand_Charge">#REF!</definedName>
    <definedName name="FLUA">#REF!</definedName>
    <definedName name="FS_FL_UT_PER1">#REF!</definedName>
    <definedName name="FS_FL_UT_PER10">#REF!</definedName>
    <definedName name="FS_FL_UT_PER11">#REF!</definedName>
    <definedName name="FS_FL_UT_PER12">#REF!</definedName>
    <definedName name="FS_FL_UT_PER2">#REF!</definedName>
    <definedName name="FS_FL_UT_PER3">#REF!</definedName>
    <definedName name="FS_FL_UT_PER4">#REF!</definedName>
    <definedName name="FS_FL_UT_PER5">#REF!</definedName>
    <definedName name="FS_FL_UT_PER6">#REF!</definedName>
    <definedName name="FS_FL_UT_PER7">#REF!</definedName>
    <definedName name="FS_FL_UT_PER8">#REF!</definedName>
    <definedName name="FS_FL_UT_PER9">#REF!</definedName>
    <definedName name="FT_FL_UT_PER1">#REF!</definedName>
    <definedName name="FT_FL_UT_PER10">#REF!</definedName>
    <definedName name="FT_FL_UT_PER11">#REF!</definedName>
    <definedName name="FT_FL_UT_PER12">#REF!</definedName>
    <definedName name="FT_FL_UT_PER2">#REF!</definedName>
    <definedName name="FT_FL_UT_PER3">#REF!</definedName>
    <definedName name="FT_FL_UT_PER4">#REF!</definedName>
    <definedName name="FT_FL_UT_PER5">#REF!</definedName>
    <definedName name="FT_FL_UT_PER6">#REF!</definedName>
    <definedName name="FT_FL_UT_PER7">#REF!</definedName>
    <definedName name="FT_FL_UT_PER8">#REF!</definedName>
    <definedName name="FT_FL_UT_PER9">#REF!</definedName>
    <definedName name="FT2_COMM_UT_PER1">#REF!</definedName>
    <definedName name="FT2_COMM_UT_PER10">#REF!</definedName>
    <definedName name="FT2_COMM_UT_PER11">#REF!</definedName>
    <definedName name="FT2_COMM_UT_PER12">#REF!</definedName>
    <definedName name="FT2_COMM_UT_PER2">#REF!</definedName>
    <definedName name="FT2_COMM_UT_PER3">#REF!</definedName>
    <definedName name="FT2_COMM_UT_PER4">#REF!</definedName>
    <definedName name="FT2_COMM_UT_PER5">#REF!</definedName>
    <definedName name="FT2_COMM_UT_PER6">#REF!</definedName>
    <definedName name="FT2_COMM_UT_PER7">#REF!</definedName>
    <definedName name="FT2_COMM_UT_PER8">#REF!</definedName>
    <definedName name="FT2_COMM_UT_PER9">#REF!</definedName>
    <definedName name="FT2C_PER1">#REF!</definedName>
    <definedName name="FT2C_PER10">#REF!</definedName>
    <definedName name="FT2C_PER11">#REF!</definedName>
    <definedName name="FT2C_PER12">#REF!</definedName>
    <definedName name="FT2C_PER2">#REF!</definedName>
    <definedName name="FT2C_PER3">#REF!</definedName>
    <definedName name="FT2C_PER4">#REF!</definedName>
    <definedName name="FT2C_PER5">#REF!</definedName>
    <definedName name="FT2C_PER6">#REF!</definedName>
    <definedName name="FT2C_PER7">#REF!</definedName>
    <definedName name="FT2C_PER8">#REF!</definedName>
    <definedName name="FT2C_PER9">#REF!</definedName>
    <definedName name="FT2RB1">#REF!</definedName>
    <definedName name="FT2RB2">#REF!</definedName>
    <definedName name="FT2RB3">#REF!</definedName>
    <definedName name="FT2RB4">#REF!</definedName>
    <definedName name="G_A">0.065</definedName>
    <definedName name="ggg">#REF!</definedName>
    <definedName name="GI1A">#REF!</definedName>
    <definedName name="GI2A">#REF!</definedName>
    <definedName name="grt">#REF!</definedName>
    <definedName name="GS_FL_UT_PER1">#REF!</definedName>
    <definedName name="GS_FL_UT_PER10">#REF!</definedName>
    <definedName name="GS_FL_UT_PER11">#REF!</definedName>
    <definedName name="GS_FL_UT_PER12">#REF!</definedName>
    <definedName name="GS_FL_UT_PER2">#REF!</definedName>
    <definedName name="GS_FL_UT_PER3">#REF!</definedName>
    <definedName name="GS_FL_UT_PER4">#REF!</definedName>
    <definedName name="GS_FL_UT_PER5">#REF!</definedName>
    <definedName name="GS_FL_UT_PER6">#REF!</definedName>
    <definedName name="GS_FL_UT_PER7">#REF!</definedName>
    <definedName name="GS_FL_UT_PER8">#REF!</definedName>
    <definedName name="GS_FL_UT_PER9">#REF!</definedName>
    <definedName name="GSS_COM_UT_PER7">#REF!</definedName>
    <definedName name="GSS_COM_WY_PER7">#REF!</definedName>
    <definedName name="GSS_DNG_UT_PER7">#REF!</definedName>
    <definedName name="GSS_DNG_WY_PER7">#REF!</definedName>
    <definedName name="GSS_SNG_UT_PER7">#REF!</definedName>
    <definedName name="GSS_WNA_UT_PER7">#REF!</definedName>
    <definedName name="GSW_WNA_PER1">#REF!</definedName>
    <definedName name="GSW_WNA_PER10">#REF!</definedName>
    <definedName name="GSW_WNA_PER11">#REF!</definedName>
    <definedName name="GSW_WNA_PER12">#REF!</definedName>
    <definedName name="GSW_WNA_PER2">#REF!</definedName>
    <definedName name="GSW_WNA_PER3">#REF!</definedName>
    <definedName name="GSW_WNA_PER4">#REF!</definedName>
    <definedName name="GSW_WNA_PER5">#REF!</definedName>
    <definedName name="GSW_WNA_PER6">#REF!</definedName>
    <definedName name="GSW_WNA_PER7">#REF!</definedName>
    <definedName name="GSW_WNA_PER8">#REF!</definedName>
    <definedName name="GSW_WNA_PER9">#REF!</definedName>
    <definedName name="HA1A">#REF!</definedName>
    <definedName name="HA2A">#REF!</definedName>
    <definedName name="hhh">#REF!</definedName>
    <definedName name="high">#REF!</definedName>
    <definedName name="HIST_403_GEN">#REF!</definedName>
    <definedName name="HIST_403_PROD">#REF!</definedName>
    <definedName name="HIST_403_UT">#REF!</definedName>
    <definedName name="HIST_403_WY">#REF!</definedName>
    <definedName name="HO1A">#REF!</definedName>
    <definedName name="HO2A">#REF!</definedName>
    <definedName name="HOLA">#REF!</definedName>
    <definedName name="home">#REF!</definedName>
    <definedName name="HOSA">#REF!</definedName>
    <definedName name="HOTA">#REF!</definedName>
    <definedName name="HS1A">#REF!</definedName>
    <definedName name="HS2A">#REF!</definedName>
    <definedName name="HS3A">#REF!</definedName>
    <definedName name="HS4A">#REF!</definedName>
    <definedName name="HS5A">#REF!</definedName>
    <definedName name="HS6A">#REF!</definedName>
    <definedName name="I2_COM_UT_PER7">#REF!</definedName>
    <definedName name="I2_DNG_UT_PER7">#REF!</definedName>
    <definedName name="I2_SNG_UT_PER7">#REF!</definedName>
    <definedName name="IDGSDNG" localSheetId="7">#REF!</definedName>
    <definedName name="IDGSDNG">#REF!</definedName>
    <definedName name="IDGSDTH" localSheetId="7">#REF!</definedName>
    <definedName name="IDGSDTH">#REF!</definedName>
    <definedName name="IDGSGAS" localSheetId="7">#REF!</definedName>
    <definedName name="IDGSGAS">#REF!</definedName>
    <definedName name="IDGSSNG" localSheetId="7">#REF!</definedName>
    <definedName name="IDGSSNG">#REF!</definedName>
    <definedName name="IDIS2DNG" localSheetId="7">#REF!</definedName>
    <definedName name="IDIS2DNG">#REF!</definedName>
    <definedName name="IDIS2DTH" localSheetId="7">#REF!</definedName>
    <definedName name="IDIS2DTH">#REF!</definedName>
    <definedName name="IDIS2GAS" localSheetId="7">#REF!</definedName>
    <definedName name="IDIS2GAS">#REF!</definedName>
    <definedName name="IDIS2SNG" localSheetId="7">#REF!</definedName>
    <definedName name="IDIS2SNG">#REF!</definedName>
    <definedName name="ILLA">#REF!</definedName>
    <definedName name="IM1A">#REF!</definedName>
    <definedName name="IM2A">#REF!</definedName>
    <definedName name="IN1A">#REF!</definedName>
    <definedName name="IN2A">#REF!</definedName>
    <definedName name="IN3A">#REF!</definedName>
    <definedName name="IN4A">#REF!</definedName>
    <definedName name="IN5A">#REF!</definedName>
    <definedName name="IN7A">#REF!</definedName>
    <definedName name="IN8A">#REF!</definedName>
    <definedName name="IN9A">#REF!</definedName>
    <definedName name="INCA">#REF!</definedName>
    <definedName name="INCENT_ADJ">#REF!</definedName>
    <definedName name="INJA">#REF!</definedName>
    <definedName name="INSA">#REF!</definedName>
    <definedName name="Interest">#REF!</definedName>
    <definedName name="INVA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S_FL_UT_PER1">#REF!</definedName>
    <definedName name="IS_FL_UT_PER10">#REF!</definedName>
    <definedName name="IS_FL_UT_PER11">#REF!</definedName>
    <definedName name="IS_FL_UT_PER12">#REF!</definedName>
    <definedName name="IS_FL_UT_PER2">#REF!</definedName>
    <definedName name="IS_FL_UT_PER3">#REF!</definedName>
    <definedName name="IS_FL_UT_PER4">#REF!</definedName>
    <definedName name="IS_FL_UT_PER5">#REF!</definedName>
    <definedName name="IS_FL_UT_PER6">#REF!</definedName>
    <definedName name="IS_FL_UT_PER7">#REF!</definedName>
    <definedName name="IS_FL_UT_PER8">#REF!</definedName>
    <definedName name="IS_FL_UT_PER9">#REF!</definedName>
    <definedName name="IS4_COM_UT_PER7">#REF!</definedName>
    <definedName name="IS4_DNG_UT_PER7">#REF!</definedName>
    <definedName name="IS4_SNG_UT_PER7">#REF!</definedName>
    <definedName name="IS4_WNA_UT_PER7">#REF!</definedName>
    <definedName name="IT_COMM_UT_PER1">#REF!</definedName>
    <definedName name="IT_COMM_UT_PER10">#REF!</definedName>
    <definedName name="IT_COMM_UT_PER11">#REF!</definedName>
    <definedName name="IT_COMM_UT_PER12">#REF!</definedName>
    <definedName name="IT_COMM_UT_PER2">#REF!</definedName>
    <definedName name="IT_COMM_UT_PER3">#REF!</definedName>
    <definedName name="IT_COMM_UT_PER4">#REF!</definedName>
    <definedName name="IT_COMM_UT_PER5">#REF!</definedName>
    <definedName name="IT_COMM_UT_PER6">#REF!</definedName>
    <definedName name="IT_COMM_UT_PER7">#REF!</definedName>
    <definedName name="IT_COMM_UT_PER8">#REF!</definedName>
    <definedName name="IT_COMM_UT_PER9">#REF!</definedName>
    <definedName name="ITPA">#REF!</definedName>
    <definedName name="JEFF">#REF!</definedName>
    <definedName name="JIB">#REF!</definedName>
    <definedName name="JJIONJI">#REF!</definedName>
    <definedName name="JurisRORNumber">#REF!</definedName>
    <definedName name="labor_2011">#REF!</definedName>
    <definedName name="labor_2012">#REF!</definedName>
    <definedName name="LTCA">#REF!</definedName>
    <definedName name="LTD">38076.6771759259</definedName>
    <definedName name="LTDA">#REF!</definedName>
    <definedName name="LUMA">#REF!</definedName>
    <definedName name="LYN">#REF!</definedName>
    <definedName name="MANA">#REF!</definedName>
    <definedName name="master">#REF!</definedName>
    <definedName name="MILA">#REF!</definedName>
    <definedName name="MITROS">#REF!</definedName>
    <definedName name="MITROSHORT">#REF!</definedName>
    <definedName name="ML2A">#REF!</definedName>
    <definedName name="MLNA">#REF!</definedName>
    <definedName name="MonthEnding">#REF!</definedName>
    <definedName name="MS1A">#REF!</definedName>
    <definedName name="MS2A">#REF!</definedName>
    <definedName name="MT_FL_UT_PER1">#REF!</definedName>
    <definedName name="MT_FL_UT_PER10">#REF!</definedName>
    <definedName name="MT_FL_UT_PER11">#REF!</definedName>
    <definedName name="MT_FL_UT_PER12">#REF!</definedName>
    <definedName name="MT_FL_UT_PER2">#REF!</definedName>
    <definedName name="MT_FL_UT_PER3">#REF!</definedName>
    <definedName name="MT_FL_UT_PER4">#REF!</definedName>
    <definedName name="MT_FL_UT_PER5">#REF!</definedName>
    <definedName name="MT_FL_UT_PER6">#REF!</definedName>
    <definedName name="MT_FL_UT_PER7">#REF!</definedName>
    <definedName name="MT_FL_UT_PER8">#REF!</definedName>
    <definedName name="MT_FL_UT_PER9">#REF!</definedName>
    <definedName name="MT_SNG_UT_PER1">#REF!</definedName>
    <definedName name="MT_SNG_UT_PER10">#REF!</definedName>
    <definedName name="MT_SNG_UT_PER11">#REF!</definedName>
    <definedName name="MT_SNG_UT_PER12">#REF!</definedName>
    <definedName name="MT_SNG_UT_PER2">#REF!</definedName>
    <definedName name="MT_SNG_UT_PER3">#REF!</definedName>
    <definedName name="MT_SNG_UT_PER4">#REF!</definedName>
    <definedName name="MT_SNG_UT_PER5">#REF!</definedName>
    <definedName name="MT_SNG_UT_PER6">#REF!</definedName>
    <definedName name="MT_SNG_UT_PER7">#REF!</definedName>
    <definedName name="MT_SNG_UT_PER8">#REF!</definedName>
    <definedName name="MT_SNG_UT_PER9">#REF!</definedName>
    <definedName name="MTPA">#REF!</definedName>
    <definedName name="MV1A">#REF!</definedName>
    <definedName name="MV2A">#REF!</definedName>
    <definedName name="MV3A">#REF!</definedName>
    <definedName name="MV4A">#REF!</definedName>
    <definedName name="Name_LkUp_03006">"VLOOKUP($E$12,'I:\BUDGET\2 0 0 3\[Actv_CdBk.xls]Activity'!$E$5:$H$101,?)"</definedName>
    <definedName name="Name_LkUp_05006">"VLOOKUP($E$12,'I:\BUDGET\2 0 0 3\[Actv_CdBk.xls]Activity'!$E$5:$H$101,?)"</definedName>
    <definedName name="Name_LkUp_06006">"VLOOKUP($E$12,'I:\BUDGET\2 0 0 3\[Actv_CdBk.xls]Activity'!$E$5:$H$101,?)"</definedName>
    <definedName name="Name_LkUp_07006">"VLOOKUP($E$12,'I:\BUDGET\2 0 0 3\[Actv_CdBk.xls]Activity'!$E$5:$H$101,?)"</definedName>
    <definedName name="Name_Lookup">"=VLOOKUP($E$12,'I:\BUDGET\2 0 0 3\[Actv_CdBk.xls]Activity'!$E$5:$H$101,?)"</definedName>
    <definedName name="Name_Lookup_41006">"VLOOKUP($E$12,'I:\BUDGET\2 0 0 3\[Actv_CdBk.xls]Activity'!$E$5:$H$101,?)"</definedName>
    <definedName name="Name_Lookup_43006">"VLOOKUP($E$12,'I:\BUDGET\2 0 0 3\[Actv_CdBk.xls]Activity'!$E$5:$H$101,?)"</definedName>
    <definedName name="Name_Lookup_84206">"=VLOOKUP($E$12,'I:\BUDGET\2 0 0 3\[Actv_CdBk.xls]Activity'!$E$5:$H$101,?)"</definedName>
    <definedName name="NEW_NAME">"="</definedName>
    <definedName name="NGV_DATA">#REF!</definedName>
    <definedName name="NGV_DSM">#REF!</definedName>
    <definedName name="NGV_per1">#REF!</definedName>
    <definedName name="NGV_PER10">#REF!</definedName>
    <definedName name="NGV_PER11">#REF!</definedName>
    <definedName name="NGV_PER12">#REF!</definedName>
    <definedName name="NGV_PER2">#REF!</definedName>
    <definedName name="NGV_PER3">#REF!</definedName>
    <definedName name="NGV_PER4">#REF!</definedName>
    <definedName name="NGV_PER5">#REF!</definedName>
    <definedName name="NGV_PER6">#REF!</definedName>
    <definedName name="NGV_PER7">#REF!</definedName>
    <definedName name="NGV_PER8">#REF!</definedName>
    <definedName name="NGV_PER9">#REF!</definedName>
    <definedName name="NGV_QUERY">#REF!</definedName>
    <definedName name="NGVA">#REF!</definedName>
    <definedName name="NGVWY_PER1">#REF!</definedName>
    <definedName name="NGVWY_PER10">#REF!</definedName>
    <definedName name="NGVWY_PER11">#REF!</definedName>
    <definedName name="NGVWY_PER12">#REF!</definedName>
    <definedName name="NGVWY_PER2">#REF!</definedName>
    <definedName name="NGVWY_PER3">#REF!</definedName>
    <definedName name="NGVWY_PER4">#REF!</definedName>
    <definedName name="NGVWY_PER5">#REF!</definedName>
    <definedName name="NGVWY_PER6">#REF!</definedName>
    <definedName name="NGVWY_PER7">#REF!</definedName>
    <definedName name="NGVWY_PER8">#REF!</definedName>
    <definedName name="NGVWY_PER9">#REF!</definedName>
    <definedName name="NTEA">#REF!</definedName>
    <definedName name="NvsAnswerCol">"[Drill14]Sheet1!$A$3:$A$98"</definedName>
    <definedName name="NvsASD">"V2012-12-31"</definedName>
    <definedName name="NvsAutoDrillOk">"VY"</definedName>
    <definedName name="NvsElapsedTime">0.000150462969031651</definedName>
    <definedName name="NvsEndTime">41354.6402662037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"V2012-01-01"</definedName>
    <definedName name="NvsPanelSetid">"V01"</definedName>
    <definedName name="NvsParentRef">"'[QGC2009.xlsx]Mar Incst'!$H$59"</definedName>
    <definedName name="NvsReqBU">"V01"</definedName>
    <definedName name="NvsReqBUOnly">"VY"</definedName>
    <definedName name="NvsSheetType">"M"</definedName>
    <definedName name="NvsTransLed">"VN"</definedName>
    <definedName name="NvsTreeASD">"V2012-12-31"</definedName>
    <definedName name="NvsValTbl.">"BUS_UNIT_TBL_GL"</definedName>
    <definedName name="NvsValTbl.ACCOUNT">"GL_ACCOUNT_TBL"</definedName>
    <definedName name="NvsValTbl.AFFILIATE">"AFFILIATE_VW"</definedName>
    <definedName name="NvsValTbl.BUSINESS_UNIT">"BUS_UNIT_TBL_GL"</definedName>
    <definedName name="NvsValTbl.CHARTFIELD1">"CHARTFIELD1_TBL"</definedName>
    <definedName name="NvsValTbl.CHARTFIELD3">"CF3_ALL_VW"</definedName>
    <definedName name="NvsValTbl.CLASS_FLD">"CLASS_CF_ALL_VW"</definedName>
    <definedName name="NvsValTbl.CURRENCY_CD">"CURRENCY_CD_TBL"</definedName>
    <definedName name="NvsValTbl.DEPTID">"DEPT_TBL"</definedName>
    <definedName name="NvsValTbl.JOURNAL_ID">"JRNL_ALL_ID_VW"</definedName>
    <definedName name="NvsValTbl.LOCATION_QRS">"LOCATIONQRS_TBL"</definedName>
    <definedName name="NvsValTbl.OPERATING_UNIT">"OPERUNIT_ALL_VW"</definedName>
    <definedName name="NvsValTbl.PRODUCT">"PRODUCT_TBL"</definedName>
    <definedName name="NvsValTbl.RESOURCE_QRS">"RESOURCEQRS_TBL"</definedName>
    <definedName name="NvsValTbl.RESOURCE_TYPE">"PROJ_RESTYPE_FS"</definedName>
    <definedName name="NvsValTbl.SCENARIO">"BD_SCENARIO_TBL"</definedName>
    <definedName name="NvsValTbl.STATISTICS_CODE">"STAT_TBL"</definedName>
    <definedName name="okok">"%"</definedName>
    <definedName name="ONCA">#REF!</definedName>
    <definedName name="ONPA">#REF!</definedName>
    <definedName name="ONXA">#REF!</definedName>
    <definedName name="OR">#REF!</definedName>
    <definedName name="OT1A">#REF!</definedName>
    <definedName name="OTHA">#REF!</definedName>
    <definedName name="OTPA">#REF!</definedName>
    <definedName name="OVPA">#REF!</definedName>
    <definedName name="P01A">#REF!</definedName>
    <definedName name="P02A">#REF!</definedName>
    <definedName name="P03A">#REF!</definedName>
    <definedName name="P04A">#REF!</definedName>
    <definedName name="P05A">#REF!</definedName>
    <definedName name="P06A">#REF!</definedName>
    <definedName name="P07A">#REF!</definedName>
    <definedName name="P08A">#REF!</definedName>
    <definedName name="P09A">#REF!</definedName>
    <definedName name="P10A">#REF!</definedName>
    <definedName name="P11A">#REF!</definedName>
    <definedName name="P12A">#REF!</definedName>
    <definedName name="P13A">#REF!</definedName>
    <definedName name="P14A">#REF!</definedName>
    <definedName name="P15A">#REF!</definedName>
    <definedName name="P16A">#REF!</definedName>
    <definedName name="P17A">#REF!</definedName>
    <definedName name="P18A">#REF!</definedName>
    <definedName name="pa">#REF!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354">#REF!</definedName>
    <definedName name="PAGE355">#REF!</definedName>
    <definedName name="Page6">#REF!</definedName>
    <definedName name="Page7">#REF!</definedName>
    <definedName name="Page8">#REF!</definedName>
    <definedName name="Page9">#REF!</definedName>
    <definedName name="PATA">#REF!</definedName>
    <definedName name="PD1A">#REF!</definedName>
    <definedName name="Pdate">#REF!</definedName>
    <definedName name="PDSA">#REF!</definedName>
    <definedName name="PE1A">#REF!</definedName>
    <definedName name="PE2A">#REF!</definedName>
    <definedName name="PE3A">#REF!</definedName>
    <definedName name="PE4A">#REF!</definedName>
    <definedName name="PE5A">#REF!</definedName>
    <definedName name="PE6A">#REF!</definedName>
    <definedName name="PERA">#REF!</definedName>
    <definedName name="PIPELINEINTEGRITY">#REF!</definedName>
    <definedName name="PNPA">#REF!</definedName>
    <definedName name="_xlnm.Print_Area" localSheetId="1">'UAE RR 1.1, p. 2'!$A$1:$F$32</definedName>
    <definedName name="_xlnm.Print_Area" localSheetId="2">'UAE RR 1.1, p. 3'!$A$1:$C$25</definedName>
    <definedName name="_xlnm.Print_Area" localSheetId="4">'UAE RR 1.2, p. 2'!$A$1:$L$22</definedName>
    <definedName name="_xlnm.Print_Area" localSheetId="9">'UAE RR 1.4, p. 2'!$A$1:$H$18</definedName>
    <definedName name="_xlnm.Print_Area" localSheetId="10">'UAE RR 1.4, p. 3'!$A$1:$Q$64</definedName>
    <definedName name="_xlnm.Print_Area" localSheetId="11">'UAE RR 1.4, p. 4'!$A$1:$Q$53</definedName>
    <definedName name="_xlnm.Print_Area" localSheetId="12">'UAE RR 1.4, p. 5'!$A$1:$Q$57</definedName>
    <definedName name="_xlnm.Print_Area" localSheetId="14">'UAE RR 1.5, p. 2'!$A$1:$E$67</definedName>
    <definedName name="_xlnm.Print_Area">#REF!</definedName>
    <definedName name="Print_Area_MI">#REF!</definedName>
    <definedName name="Print_Titles_MI">#REF!</definedName>
    <definedName name="PrintStaff">#REF!</definedName>
    <definedName name="PRKA">#REF!</definedName>
    <definedName name="PROJ_CAP">#REF!</definedName>
    <definedName name="Proposed_Admin_Primary">#REF!</definedName>
    <definedName name="Proposed_Admin_Secondary">#REF!</definedName>
    <definedName name="Proposed_BSF">#REF!</definedName>
    <definedName name="Proposed_TS_FirmDemandCharge">#REF!</definedName>
    <definedName name="PRSA">#REF!</definedName>
    <definedName name="PSOA">#REF!</definedName>
    <definedName name="PT1A">#REF!</definedName>
    <definedName name="PTAA">#REF!</definedName>
    <definedName name="PTHA">#REF!</definedName>
    <definedName name="PTOA">#REF!</definedName>
    <definedName name="PTRA">#REF!</definedName>
    <definedName name="PTSA">#REF!</definedName>
    <definedName name="Q">#REF!</definedName>
    <definedName name="QRSLABOR">#REF!</definedName>
    <definedName name="QTR_END">"December 31"</definedName>
    <definedName name="QTS_AMT_DETAIL">#REF!</definedName>
    <definedName name="range">#REF!</definedName>
    <definedName name="Rate_Amounts">#REF!</definedName>
    <definedName name="RateBaseScenarios">#REF!</definedName>
    <definedName name="RBN">#REF!</definedName>
    <definedName name="RDPA">#REF!</definedName>
    <definedName name="REGA">#REF!</definedName>
    <definedName name="REPORT">#REF!</definedName>
    <definedName name="RESERVEACCRUALSCENARIO">#REF!</definedName>
    <definedName name="resp">#REF!</definedName>
    <definedName name="RETA">#REF!</definedName>
    <definedName name="REVENUE">#REF!</definedName>
    <definedName name="RevenueScenarios">#REF!</definedName>
    <definedName name="RI">#REF!</definedName>
    <definedName name="RIDA">#REF!</definedName>
    <definedName name="RIPA">#REF!</definedName>
    <definedName name="RoyRate">#REF!</definedName>
    <definedName name="SA1A">#REF!</definedName>
    <definedName name="SAFA">#REF!</definedName>
    <definedName name="SAGA">#REF!</definedName>
    <definedName name="SAPBEXhrIndnt" hidden="1">"Wide"</definedName>
    <definedName name="SAPsysID" hidden="1">"708C5W7SBKP804JT78WJ0JNKI"</definedName>
    <definedName name="SAPwbID" hidden="1">"ARS"</definedName>
    <definedName name="Scenarios">#REF!</definedName>
    <definedName name="scn">#REF!</definedName>
    <definedName name="se5ry">#REF!</definedName>
    <definedName name="SEPA">#REF!</definedName>
    <definedName name="SERA">#REF!</definedName>
    <definedName name="SEVA">#REF!</definedName>
    <definedName name="SFD_QDEPTID">#REF!</definedName>
    <definedName name="SFV_QDEPTID">#REF!</definedName>
    <definedName name="SH1A">#REF!</definedName>
    <definedName name="Shares">#REF!</definedName>
    <definedName name="SHFA">#REF!</definedName>
    <definedName name="SHRA">#REF!</definedName>
    <definedName name="SORT_GA">#REF!</definedName>
    <definedName name="Sort_Main">#REF!</definedName>
    <definedName name="SSSSSSSS">#REF!</definedName>
    <definedName name="ST1A">#REF!</definedName>
    <definedName name="ST2A">#REF!</definedName>
    <definedName name="ST3A">#REF!</definedName>
    <definedName name="ST4A">#REF!</definedName>
    <definedName name="ST5A">#REF!</definedName>
    <definedName name="ST6A">#REF!</definedName>
    <definedName name="ST7A">#REF!</definedName>
    <definedName name="ST8A">#REF!</definedName>
    <definedName name="ST9A">#REF!</definedName>
    <definedName name="STAA">#REF!</definedName>
    <definedName name="STDA">#REF!</definedName>
    <definedName name="STPA">#REF!</definedName>
    <definedName name="STR_INCSTMT">"V2000-10-31"</definedName>
    <definedName name="STUA">#REF!</definedName>
    <definedName name="SUBSIDIARY">"QUESTAR  INFOCOMM"</definedName>
    <definedName name="SUMMARY">#REF!</definedName>
    <definedName name="taxes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34">#REF!</definedName>
    <definedName name="TEST135">#REF!</definedName>
    <definedName name="TEST136">#REF!</definedName>
    <definedName name="TEST137">#REF!</definedName>
    <definedName name="TEST138">#REF!</definedName>
    <definedName name="TEST139">#REF!</definedName>
    <definedName name="TEST14">#REF!</definedName>
    <definedName name="TEST140">#REF!</definedName>
    <definedName name="TEST141">#REF!</definedName>
    <definedName name="TEST142">#REF!</definedName>
    <definedName name="TEST143">#REF!</definedName>
    <definedName name="TEST144">#REF!</definedName>
    <definedName name="TEST145">#REF!</definedName>
    <definedName name="TEST146">#REF!</definedName>
    <definedName name="TEST147">#REF!</definedName>
    <definedName name="TEST148">#REF!</definedName>
    <definedName name="TEST149">#REF!</definedName>
    <definedName name="TEST15">#REF!</definedName>
    <definedName name="TEST150">#REF!</definedName>
    <definedName name="TEST151">#REF!</definedName>
    <definedName name="TEST152">#REF!</definedName>
    <definedName name="TEST153">#REF!</definedName>
    <definedName name="TEST154">#REF!</definedName>
    <definedName name="TEST155">#REF!</definedName>
    <definedName name="TEST156">#REF!</definedName>
    <definedName name="TEST157">#REF!</definedName>
    <definedName name="TEST158">#REF!</definedName>
    <definedName name="TEST159">#REF!</definedName>
    <definedName name="TEST16">#REF!</definedName>
    <definedName name="TEST160">#REF!</definedName>
    <definedName name="TEST161">#REF!</definedName>
    <definedName name="TEST162">#REF!</definedName>
    <definedName name="TEST163">#REF!</definedName>
    <definedName name="TEST164">#REF!</definedName>
    <definedName name="TEST165">#REF!</definedName>
    <definedName name="TEST166">#REF!</definedName>
    <definedName name="TEST167">#REF!</definedName>
    <definedName name="TEST168">#REF!</definedName>
    <definedName name="TEST169">#REF!</definedName>
    <definedName name="TEST17">#REF!</definedName>
    <definedName name="TEST170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>#REF!</definedName>
    <definedName name="TEST180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>#REF!</definedName>
    <definedName name="TEST190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199">#REF!</definedName>
    <definedName name="TEST2">#REF!</definedName>
    <definedName name="TEST20">#REF!</definedName>
    <definedName name="TEST200">#REF!</definedName>
    <definedName name="TEST201">#REF!</definedName>
    <definedName name="TEST202">#REF!</definedName>
    <definedName name="TEST203">#REF!</definedName>
    <definedName name="TEST204">#REF!</definedName>
    <definedName name="TEST205">#REF!</definedName>
    <definedName name="TEST206">#REF!</definedName>
    <definedName name="TEST207">#REF!</definedName>
    <definedName name="TEST208">#REF!</definedName>
    <definedName name="TEST209">#REF!</definedName>
    <definedName name="TEST21">#REF!</definedName>
    <definedName name="TEST210">#REF!</definedName>
    <definedName name="TEST211">#REF!</definedName>
    <definedName name="TEST212">#REF!</definedName>
    <definedName name="TEST213">#REF!</definedName>
    <definedName name="TEST214">#REF!</definedName>
    <definedName name="TEST215">#REF!</definedName>
    <definedName name="TEST216">#REF!</definedName>
    <definedName name="TEST217">#REF!</definedName>
    <definedName name="TEST218">#REF!</definedName>
    <definedName name="TEST219">#REF!</definedName>
    <definedName name="TEST22">#REF!</definedName>
    <definedName name="TEST220">#REF!</definedName>
    <definedName name="TEST221">#REF!</definedName>
    <definedName name="TEST222">#REF!</definedName>
    <definedName name="TEST223">#REF!</definedName>
    <definedName name="TEST224">#REF!</definedName>
    <definedName name="TEST225">#REF!</definedName>
    <definedName name="TEST226">#REF!</definedName>
    <definedName name="TEST227">#REF!</definedName>
    <definedName name="TEST228">#REF!</definedName>
    <definedName name="TEST229">#REF!</definedName>
    <definedName name="TEST23">#REF!</definedName>
    <definedName name="TEST230">#REF!</definedName>
    <definedName name="TEST231">#REF!</definedName>
    <definedName name="TEST232">#REF!</definedName>
    <definedName name="TEST23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KEYS">#REF!</definedName>
    <definedName name="TESTVKEY">#REF!</definedName>
    <definedName name="TOTALS">#REF!</definedName>
    <definedName name="TRAA">#REF!</definedName>
    <definedName name="TS_COMM_UT_PER1">#REF!</definedName>
    <definedName name="TS_COMM_UT_PER10">#REF!</definedName>
    <definedName name="TS_COMM_UT_PER11">#REF!</definedName>
    <definedName name="TS_COMM_UT_PER12">#REF!</definedName>
    <definedName name="TS_COMM_UT_PER2">#REF!</definedName>
    <definedName name="TS_COMM_UT_PER3">#REF!</definedName>
    <definedName name="TS_COMM_UT_PER4">#REF!</definedName>
    <definedName name="TS_COMM_UT_PER5">#REF!</definedName>
    <definedName name="TS_COMM_UT_PER6">#REF!</definedName>
    <definedName name="TS_COMM_UT_PER7">#REF!</definedName>
    <definedName name="TS_COMM_UT_PER8">#REF!</definedName>
    <definedName name="TS_COMM_UT_PER9">#REF!</definedName>
    <definedName name="TS_DNG_UT_PER1">#REF!</definedName>
    <definedName name="TS_DNG_UT_PER10">#REF!</definedName>
    <definedName name="TS_DNG_UT_PER11">#REF!</definedName>
    <definedName name="TS_DNG_UT_PER12">#REF!</definedName>
    <definedName name="TS_DNG_UT_PER2">#REF!</definedName>
    <definedName name="TS_DNG_UT_PER3">#REF!</definedName>
    <definedName name="TS_DNG_UT_PER4">#REF!</definedName>
    <definedName name="TS_DNG_UT_PER5">#REF!</definedName>
    <definedName name="TS_DNG_UT_PER6">#REF!</definedName>
    <definedName name="TS_DNG_UT_PER7">#REF!</definedName>
    <definedName name="TS_DNG_UT_PER8">#REF!</definedName>
    <definedName name="TS_DNG_UT_PER9">#REF!</definedName>
    <definedName name="TS_FL_UT_PER1">#REF!</definedName>
    <definedName name="TS_FL_UT_PER10">#REF!</definedName>
    <definedName name="TS_FL_UT_PER11">#REF!</definedName>
    <definedName name="TS_FL_UT_PER12">#REF!</definedName>
    <definedName name="TS_FL_UT_PER2">#REF!</definedName>
    <definedName name="TS_FL_UT_PER3">#REF!</definedName>
    <definedName name="TS_FL_UT_PER4">#REF!</definedName>
    <definedName name="TS_FL_UT_PER5">#REF!</definedName>
    <definedName name="TS_FL_UT_PER6">#REF!</definedName>
    <definedName name="TS_FL_UT_PER7">#REF!</definedName>
    <definedName name="TS_FL_UT_PER8">#REF!</definedName>
    <definedName name="TS_FL_UT_PER9">#REF!</definedName>
    <definedName name="TX1A">#REF!</definedName>
    <definedName name="TXPA">#REF!</definedName>
    <definedName name="UT_CIS_PER1">#REF!</definedName>
    <definedName name="UT_CIS_PER10">#REF!</definedName>
    <definedName name="UT_CIS_PER11">#REF!</definedName>
    <definedName name="UT_CIS_PER12">#REF!</definedName>
    <definedName name="UT_CIS_PER2">#REF!</definedName>
    <definedName name="UT_CIS_PER3">#REF!</definedName>
    <definedName name="UT_CIS_PER4">#REF!</definedName>
    <definedName name="UT_CIS_PER5">#REF!</definedName>
    <definedName name="UT_CIS_PER6">#REF!</definedName>
    <definedName name="UT_CIS_PER7">#REF!</definedName>
    <definedName name="UT_CIS_PER8">#REF!</definedName>
    <definedName name="UT_CIS_PER9">#REF!</definedName>
    <definedName name="UT_F1_SUMMER">#REF!</definedName>
    <definedName name="UT_F1_WINTER">#REF!</definedName>
    <definedName name="UT_F1E_SUMMER">#REF!</definedName>
    <definedName name="UT_F1E_WINTER">#REF!</definedName>
    <definedName name="UT_GS_SUMMER">#REF!</definedName>
    <definedName name="UT_GS_WINTER">#REF!</definedName>
    <definedName name="UT_GSC_SUMMER">#REF!</definedName>
    <definedName name="UT_GSC_WINTER">#REF!</definedName>
    <definedName name="UT_GSR_SUMMER">#REF!</definedName>
    <definedName name="UT_GSR_WINTER">#REF!</definedName>
    <definedName name="UT_GSS_SUMMER">#REF!</definedName>
    <definedName name="UT_GSS_WINTER">#REF!</definedName>
    <definedName name="UT_I2">#REF!</definedName>
    <definedName name="UT_I4">#REF!</definedName>
    <definedName name="UT_IS2">#REF!</definedName>
    <definedName name="UT_IS4">#REF!</definedName>
    <definedName name="UT_IT2">#REF!</definedName>
    <definedName name="Utah_Rates">#REF!</definedName>
    <definedName name="UTCUSTOMERS">#REF!</definedName>
    <definedName name="UTE1CUSTOMERS">#REF!</definedName>
    <definedName name="UTE1DNG" localSheetId="7">#REF!</definedName>
    <definedName name="UTE1DNG">#REF!</definedName>
    <definedName name="UTE1DTH" localSheetId="7">#REF!</definedName>
    <definedName name="UTE1DTH">#REF!</definedName>
    <definedName name="UTE1GAS" localSheetId="7">#REF!</definedName>
    <definedName name="UTE1GAS">#REF!</definedName>
    <definedName name="UTE1SNG" localSheetId="7">#REF!</definedName>
    <definedName name="UTE1SNG">#REF!</definedName>
    <definedName name="UTES">#REF!</definedName>
    <definedName name="UTF1CUSTOMERS">#REF!</definedName>
    <definedName name="UTF1DNG" localSheetId="7">#REF!</definedName>
    <definedName name="UTF1DNG">#REF!</definedName>
    <definedName name="UTF1DTH" localSheetId="7">#REF!</definedName>
    <definedName name="UTF1DTH">#REF!</definedName>
    <definedName name="UTF1EDNG" localSheetId="7">#REF!</definedName>
    <definedName name="UTF1EDNG">#REF!</definedName>
    <definedName name="UTF1EDTH" localSheetId="7">#REF!</definedName>
    <definedName name="UTF1EDTH">#REF!</definedName>
    <definedName name="UTF1EGAS" localSheetId="7">#REF!</definedName>
    <definedName name="UTF1EGAS">#REF!</definedName>
    <definedName name="UTF1ESNG" localSheetId="7">#REF!</definedName>
    <definedName name="UTF1ESNG">#REF!</definedName>
    <definedName name="UTF1GAS" localSheetId="7">#REF!</definedName>
    <definedName name="UTF1GAS">#REF!</definedName>
    <definedName name="UTF1SNG" localSheetId="7">#REF!</definedName>
    <definedName name="UTF1SNG">#REF!</definedName>
    <definedName name="UTF3CUSTOMERS">#REF!</definedName>
    <definedName name="UTF3DNG" localSheetId="7">#REF!</definedName>
    <definedName name="UTF3DNG">#REF!</definedName>
    <definedName name="UTF3DTH" localSheetId="7">#REF!</definedName>
    <definedName name="UTF3DTH">#REF!</definedName>
    <definedName name="UTF3GAS" localSheetId="7">#REF!</definedName>
    <definedName name="UTF3GAS">#REF!</definedName>
    <definedName name="UTF3SNG" localSheetId="7">#REF!</definedName>
    <definedName name="UTF3SNG">#REF!</definedName>
    <definedName name="UTF4CUSTOMERS">#REF!</definedName>
    <definedName name="UTF4DNG">#REF!</definedName>
    <definedName name="UTF4DTH">#REF!</definedName>
    <definedName name="UTF4GAS">#REF!</definedName>
    <definedName name="UTF4SNG">#REF!</definedName>
    <definedName name="UTFS">#REF!</definedName>
    <definedName name="UTFS_Winter1">#REF!</definedName>
    <definedName name="UTFS_Winter11">#REF!</definedName>
    <definedName name="UTFS_Winter12">#REF!</definedName>
    <definedName name="UTFS_Winter2">#REF!</definedName>
    <definedName name="UTFS_Winter3">#REF!</definedName>
    <definedName name="UTFT1">#REF!</definedName>
    <definedName name="UTFT1CUSTOMERS">#REF!</definedName>
    <definedName name="UTFT1DNG" localSheetId="7">#REF!</definedName>
    <definedName name="UTFT1DNG">#REF!</definedName>
    <definedName name="UTFT1DTH" localSheetId="7">#REF!</definedName>
    <definedName name="UTFT1DTH">#REF!</definedName>
    <definedName name="UTFT1GAS" localSheetId="7">#REF!</definedName>
    <definedName name="UTFT1GAS">#REF!</definedName>
    <definedName name="UTFT1L">#REF!</definedName>
    <definedName name="UTFT1LDNG">#REF!</definedName>
    <definedName name="UTFT1LDTH">#REF!</definedName>
    <definedName name="UTFT1LGAS">#REF!</definedName>
    <definedName name="UTFT1LSNG">#REF!</definedName>
    <definedName name="UTFT1SNG" localSheetId="7">#REF!</definedName>
    <definedName name="UTFT1SNG">#REF!</definedName>
    <definedName name="UTFT2CCUSTOMERS">#REF!</definedName>
    <definedName name="UTFT2CDNG">#REF!</definedName>
    <definedName name="UTFT2CDTH">#REF!</definedName>
    <definedName name="UTFT2CGAS">#REF!</definedName>
    <definedName name="UTFT2CSNG">#REF!</definedName>
    <definedName name="UTFT2CUSTOMERS">#REF!</definedName>
    <definedName name="UTFT2DNG" localSheetId="7">#REF!</definedName>
    <definedName name="UTFT2DNG">#REF!</definedName>
    <definedName name="UTFT2DTH" localSheetId="7">#REF!</definedName>
    <definedName name="UTFT2DTH">#REF!</definedName>
    <definedName name="UTFT2GAS" localSheetId="7">#REF!</definedName>
    <definedName name="UTFT2GAS">#REF!</definedName>
    <definedName name="UTFT2SNG" localSheetId="7">#REF!</definedName>
    <definedName name="UTFT2SNG">#REF!</definedName>
    <definedName name="UTFTECUSTOMERS">#REF!</definedName>
    <definedName name="UTFTEDNG" localSheetId="7">#REF!</definedName>
    <definedName name="UTFTEDNG">#REF!</definedName>
    <definedName name="UTFTEDTH" localSheetId="7">#REF!</definedName>
    <definedName name="UTFTEDTH">#REF!</definedName>
    <definedName name="UTFTEGAS" localSheetId="7">#REF!</definedName>
    <definedName name="UTFTEGAS">#REF!</definedName>
    <definedName name="UTFTESNG" localSheetId="7">#REF!</definedName>
    <definedName name="UTFTESNG">#REF!</definedName>
    <definedName name="UTGS">#REF!</definedName>
    <definedName name="UTGS_Winter1">#REF!</definedName>
    <definedName name="UTGS_Winter11">#REF!</definedName>
    <definedName name="UTGS_Winter12">#REF!</definedName>
    <definedName name="UTGS_Winter2">#REF!</definedName>
    <definedName name="utgs_winter3">#REF!</definedName>
    <definedName name="UTGSCDNG">#REF!</definedName>
    <definedName name="UTGSCDTH">#REF!</definedName>
    <definedName name="UTGSCGAS">#REF!</definedName>
    <definedName name="UTGSCSNG">#REF!</definedName>
    <definedName name="UTGSCST">#REF!</definedName>
    <definedName name="UTGSCUSTOMERS">#REF!</definedName>
    <definedName name="UTGSDNG" localSheetId="7">#REF!</definedName>
    <definedName name="UTGSDNG">#REF!</definedName>
    <definedName name="UTGSDTH" localSheetId="7">#REF!</definedName>
    <definedName name="UTGSDTH">#REF!</definedName>
    <definedName name="UTGSECST">#REF!</definedName>
    <definedName name="UTGSEDNG" localSheetId="7">#REF!</definedName>
    <definedName name="UTGSEDNG">#REF!</definedName>
    <definedName name="UTGSEDTH" localSheetId="7">#REF!</definedName>
    <definedName name="UTGSEDTH">#REF!</definedName>
    <definedName name="UTGSEGAS" localSheetId="7">#REF!</definedName>
    <definedName name="UTGSEGAS">#REF!</definedName>
    <definedName name="UTGSESIF">#REF!</definedName>
    <definedName name="UTGSESNG" localSheetId="7">#REF!</definedName>
    <definedName name="UTGSESNG">#REF!</definedName>
    <definedName name="UTGSGAS" localSheetId="7">#REF!</definedName>
    <definedName name="UTGSGAS">#REF!</definedName>
    <definedName name="UTGSRDNG">#REF!</definedName>
    <definedName name="UTGSRDTH">#REF!</definedName>
    <definedName name="UTGSRGAS">#REF!</definedName>
    <definedName name="UTGSRSNG">#REF!</definedName>
    <definedName name="UTGSSCST">#REF!</definedName>
    <definedName name="UTGSSCUSTOMERS">#REF!</definedName>
    <definedName name="UTGSSDNG" localSheetId="7">#REF!</definedName>
    <definedName name="UTGSSDNG">#REF!</definedName>
    <definedName name="UTGSSDTH" localSheetId="7">#REF!</definedName>
    <definedName name="UTGSSDTH">#REF!</definedName>
    <definedName name="UTGSSGAS" localSheetId="7">#REF!</definedName>
    <definedName name="UTGSSGAS">#REF!</definedName>
    <definedName name="UTGSSIF">#REF!</definedName>
    <definedName name="UTGSSNG" localSheetId="7">#REF!</definedName>
    <definedName name="UTGSSNG">#REF!</definedName>
    <definedName name="UTGSSSIF">#REF!</definedName>
    <definedName name="UTGSSSNG" localSheetId="7">#REF!</definedName>
    <definedName name="UTGSSSNG">#REF!</definedName>
    <definedName name="UTI2CUSTOMERS">#REF!</definedName>
    <definedName name="UTI2DNG" localSheetId="7">#REF!</definedName>
    <definedName name="UTI2DNG">#REF!</definedName>
    <definedName name="UTI2DTH" localSheetId="7">#REF!</definedName>
    <definedName name="UTI2DTH">#REF!</definedName>
    <definedName name="UTI2GAS" localSheetId="7">#REF!</definedName>
    <definedName name="UTI2GAS">#REF!</definedName>
    <definedName name="UTI2SNG" localSheetId="7">#REF!</definedName>
    <definedName name="UTI2SNG">#REF!</definedName>
    <definedName name="UTI4CUSTOMERS">#REF!</definedName>
    <definedName name="UTI4DNG" localSheetId="7">#REF!</definedName>
    <definedName name="UTI4DNG">#REF!</definedName>
    <definedName name="UTI4DTH" localSheetId="7">#REF!</definedName>
    <definedName name="UTI4DTH">#REF!</definedName>
    <definedName name="UTI4GAS" localSheetId="7">#REF!</definedName>
    <definedName name="UTI4GAS">#REF!</definedName>
    <definedName name="UTI4SNG" localSheetId="7">#REF!</definedName>
    <definedName name="UTI4SNG">#REF!</definedName>
    <definedName name="UTIS">#REF!</definedName>
    <definedName name="UTIS2CUSTOMERS">#REF!</definedName>
    <definedName name="UTIS2DNG" localSheetId="7">#REF!</definedName>
    <definedName name="UTIS2DNG">#REF!</definedName>
    <definedName name="UTIS2DTH" localSheetId="7">#REF!</definedName>
    <definedName name="UTIS2DTH">#REF!</definedName>
    <definedName name="UTIS2GAS" localSheetId="7">#REF!</definedName>
    <definedName name="UTIS2GAS">#REF!</definedName>
    <definedName name="UTIS2SNG" localSheetId="7">#REF!</definedName>
    <definedName name="UTIS2SNG">#REF!</definedName>
    <definedName name="UTIS4CUSTOMERS">#REF!</definedName>
    <definedName name="UTIS4DNG" localSheetId="7">#REF!</definedName>
    <definedName name="UTIS4DNG">#REF!</definedName>
    <definedName name="UTIS4DTH" localSheetId="7">#REF!</definedName>
    <definedName name="UTIS4DTH">#REF!</definedName>
    <definedName name="UTIS4GAS" localSheetId="7">#REF!</definedName>
    <definedName name="UTIS4GAS">#REF!</definedName>
    <definedName name="UTIS4SNG" localSheetId="7">#REF!</definedName>
    <definedName name="UTIS4SNG">#REF!</definedName>
    <definedName name="UTITCUSTOMERS">#REF!</definedName>
    <definedName name="UTITDNG" localSheetId="7">#REF!</definedName>
    <definedName name="UTITDNG">#REF!</definedName>
    <definedName name="UTITDTH" localSheetId="7">#REF!</definedName>
    <definedName name="UTITDTH">#REF!</definedName>
    <definedName name="UTITGAS" localSheetId="7">#REF!</definedName>
    <definedName name="UTITGAS">#REF!</definedName>
    <definedName name="UTITSCUSTOMERS">#REF!</definedName>
    <definedName name="UTITSDNG" localSheetId="7">#REF!</definedName>
    <definedName name="UTITSDNG">#REF!</definedName>
    <definedName name="UTITSDTH" localSheetId="7">#REF!</definedName>
    <definedName name="UTITSDTH">#REF!</definedName>
    <definedName name="UTITSGAS" localSheetId="7">#REF!</definedName>
    <definedName name="UTITSGAS">#REF!</definedName>
    <definedName name="UTITSNG" localSheetId="7">#REF!</definedName>
    <definedName name="UTITSNG">#REF!</definedName>
    <definedName name="UTITSSNG" localSheetId="7">#REF!</definedName>
    <definedName name="UTITSSNG">#REF!</definedName>
    <definedName name="UTMT">#REF!</definedName>
    <definedName name="UTMTCUSTOMERS">#REF!</definedName>
    <definedName name="UTMTDNG" localSheetId="7">#REF!</definedName>
    <definedName name="UTMTDNG">#REF!</definedName>
    <definedName name="UTMTDTH" localSheetId="7">#REF!</definedName>
    <definedName name="UTMTDTH">#REF!</definedName>
    <definedName name="UTMTGAS" localSheetId="7">#REF!</definedName>
    <definedName name="UTMTGAS">#REF!</definedName>
    <definedName name="UTMTSNG" localSheetId="7">#REF!</definedName>
    <definedName name="UTMTSNG">#REF!</definedName>
    <definedName name="UTNGV">#REF!</definedName>
    <definedName name="UTNGVCUSTOMERS">#REF!</definedName>
    <definedName name="UTNGVDNG" localSheetId="7">#REF!</definedName>
    <definedName name="UTNGVDNG">#REF!</definedName>
    <definedName name="UTNGVDTH" localSheetId="7">#REF!</definedName>
    <definedName name="UTNGVDTH">#REF!</definedName>
    <definedName name="UTNGVGAS" localSheetId="7">#REF!</definedName>
    <definedName name="UTNGVGAS">#REF!</definedName>
    <definedName name="UTNGVSNG" localSheetId="7">#REF!</definedName>
    <definedName name="UTNGVSNG">#REF!</definedName>
    <definedName name="UTP1CUSTOMERS">#REF!</definedName>
    <definedName name="UTP1DNG" localSheetId="7">#REF!</definedName>
    <definedName name="UTP1DNG">#REF!</definedName>
    <definedName name="UTP1DTH" localSheetId="7">#REF!</definedName>
    <definedName name="UTP1DTH">#REF!</definedName>
    <definedName name="UTP1GAS" localSheetId="7">#REF!</definedName>
    <definedName name="UTP1GAS">#REF!</definedName>
    <definedName name="UTP1SNG" localSheetId="7">#REF!</definedName>
    <definedName name="UTP1SNG">#REF!</definedName>
    <definedName name="UTTS">#REF!</definedName>
    <definedName name="UTTSP">#REF!</definedName>
    <definedName name="VA1A">#REF!</definedName>
    <definedName name="VAAA">#REF!</definedName>
    <definedName name="VACA">#REF!</definedName>
    <definedName name="VACATION">#REF!</definedName>
    <definedName name="VARA">#REF!</definedName>
    <definedName name="VASA">#REF!</definedName>
    <definedName name="vp_resp">#REF!</definedName>
    <definedName name="VSEA">#REF!</definedName>
    <definedName name="WCCNumber" localSheetId="1">#REF!</definedName>
    <definedName name="WCCNumber" localSheetId="2">#REF!</definedName>
    <definedName name="WCCNumber" localSheetId="4">#REF!</definedName>
    <definedName name="WCCNumber" localSheetId="9">#REF!</definedName>
    <definedName name="WCCNumber" localSheetId="10">#REF!</definedName>
    <definedName name="WCCNumber" localSheetId="11">#REF!</definedName>
    <definedName name="WCCNumber" localSheetId="12">#REF!</definedName>
    <definedName name="WCCNumber">#REF!</definedName>
    <definedName name="WELA">#REF!</definedName>
    <definedName name="WELL">#REF!</definedName>
    <definedName name="Wellmaster">#REF!</definedName>
    <definedName name="WEX_ADJ_108_PROD">#REF!</definedName>
    <definedName name="WEX_ADJ_111_PROD">#REF!</definedName>
    <definedName name="what">#REF!</definedName>
    <definedName name="when">#REF!</definedName>
    <definedName name="who">#REF!</definedName>
    <definedName name="WI">#REF!</definedName>
    <definedName name="wiprod">#REF!</definedName>
    <definedName name="wiprodmaster">#REF!</definedName>
    <definedName name="WKCA">#REF!</definedName>
    <definedName name="WLDA">#REF!</definedName>
    <definedName name="WORKSHEET">#REF!</definedName>
    <definedName name="WY_CET_PER1">#REF!</definedName>
    <definedName name="WY_CET_PER10">#REF!</definedName>
    <definedName name="WY_CET_PER11">#REF!</definedName>
    <definedName name="WY_CET_PER12">#REF!</definedName>
    <definedName name="WY_CET_PER2">#REF!</definedName>
    <definedName name="WY_CET_PER3">#REF!</definedName>
    <definedName name="WY_CET_PER4">#REF!</definedName>
    <definedName name="WY_CET_PER5">#REF!</definedName>
    <definedName name="WY_CET_PER6">#REF!</definedName>
    <definedName name="WY_CET_PER7">#REF!</definedName>
    <definedName name="WY_CET_PER8">#REF!</definedName>
    <definedName name="WY_CET_PER9">#REF!</definedName>
    <definedName name="WY_CIS_PER1">#REF!</definedName>
    <definedName name="WY_CIS_PER10">#REF!</definedName>
    <definedName name="WY_CIS_PER11">#REF!</definedName>
    <definedName name="WY_CIS_PER12">#REF!</definedName>
    <definedName name="WY_CIS_PER2">#REF!</definedName>
    <definedName name="WY_CIS_PER3">#REF!</definedName>
    <definedName name="WY_CIS_PER4">#REF!</definedName>
    <definedName name="WY_CIS_PER5">#REF!</definedName>
    <definedName name="WY_CIS_PER6">#REF!</definedName>
    <definedName name="WY_CIS_PER7">#REF!</definedName>
    <definedName name="WY_CIS_PER8">#REF!</definedName>
    <definedName name="WY_CIS_PER9">#REF!</definedName>
    <definedName name="WY_DSM_PER1">#REF!</definedName>
    <definedName name="WY_DSM_PER10">#REF!</definedName>
    <definedName name="WY_DSM_PER11">#REF!</definedName>
    <definedName name="WY_DSM_PER12">#REF!</definedName>
    <definedName name="WY_DSM_PER2">#REF!</definedName>
    <definedName name="WY_DSM_PER3">#REF!</definedName>
    <definedName name="WY_DSM_PER4">#REF!</definedName>
    <definedName name="WY_DSM_PER5">#REF!</definedName>
    <definedName name="WY_DSM_PER6">#REF!</definedName>
    <definedName name="WY_DSM_PER7">#REF!</definedName>
    <definedName name="WY_DSM_PER8">#REF!</definedName>
    <definedName name="WY_DSM_PER9">#REF!</definedName>
    <definedName name="WY_F1">#REF!</definedName>
    <definedName name="WY_GS">#REF!</definedName>
    <definedName name="WY_GSW">#REF!</definedName>
    <definedName name="WY_I2">#REF!</definedName>
    <definedName name="WY_I4">#REF!</definedName>
    <definedName name="WY_IC">#REF!</definedName>
    <definedName name="WY_IC1">#REF!</definedName>
    <definedName name="WY_IC2">#REF!</definedName>
    <definedName name="WY_IC3">#REF!</definedName>
    <definedName name="WY_IC8">#REF!</definedName>
    <definedName name="WY_IT">#REF!</definedName>
    <definedName name="WY_NGV">#REF!</definedName>
    <definedName name="WYCUSTOMERS">#REF!</definedName>
    <definedName name="WYF1CUSTOMERS">#REF!</definedName>
    <definedName name="WYF1DNG" localSheetId="7">#REF!</definedName>
    <definedName name="WYF1DNG">#REF!</definedName>
    <definedName name="WYF1DTH" localSheetId="7">#REF!</definedName>
    <definedName name="WYF1DTH">#REF!</definedName>
    <definedName name="WYF1GAS" localSheetId="7">#REF!</definedName>
    <definedName name="WYF1GAS">#REF!</definedName>
    <definedName name="WYGSCUSTOMERS">#REF!</definedName>
    <definedName name="WYGSDNG" localSheetId="7">#REF!</definedName>
    <definedName name="WYGSDNG">#REF!</definedName>
    <definedName name="WYGSDTH" localSheetId="7">#REF!</definedName>
    <definedName name="WYGSDTH">#REF!</definedName>
    <definedName name="WYGSGAS" localSheetId="7">#REF!</definedName>
    <definedName name="WYGSGAS">#REF!</definedName>
    <definedName name="WYGSSIF">#REF!</definedName>
    <definedName name="WYGSWCUSTOMERS">#REF!</definedName>
    <definedName name="WYGSWDNG" localSheetId="7">#REF!</definedName>
    <definedName name="WYGSWDNG">#REF!</definedName>
    <definedName name="WYGSWDTH" localSheetId="7">#REF!</definedName>
    <definedName name="WYGSWDTH">#REF!</definedName>
    <definedName name="WYGSWGAS" localSheetId="7">#REF!</definedName>
    <definedName name="WYGSWGAS">#REF!</definedName>
    <definedName name="WYI2CUSTOMERS">#REF!</definedName>
    <definedName name="WYI2DNG" localSheetId="7">#REF!</definedName>
    <definedName name="WYI2DNG">#REF!</definedName>
    <definedName name="WYI2DTH" localSheetId="7">#REF!</definedName>
    <definedName name="WYI2DTH">#REF!</definedName>
    <definedName name="WYI2GAS" localSheetId="7">#REF!</definedName>
    <definedName name="WYI2GAS">#REF!</definedName>
    <definedName name="WYI2SNG" localSheetId="7">#REF!</definedName>
    <definedName name="WYI2SNG">#REF!</definedName>
    <definedName name="WYI4CUSTOMERS">#REF!</definedName>
    <definedName name="WYI4DNG" localSheetId="7">#REF!</definedName>
    <definedName name="WYI4DNG">#REF!</definedName>
    <definedName name="WYI4DTH" localSheetId="7">#REF!</definedName>
    <definedName name="WYI4DTH">#REF!</definedName>
    <definedName name="WYI4GAS" localSheetId="7">#REF!</definedName>
    <definedName name="WYI4GAS">#REF!</definedName>
    <definedName name="WYI4SNG" localSheetId="7">#REF!</definedName>
    <definedName name="WYI4SNG">#REF!</definedName>
    <definedName name="WYICCUSTOMERS">#REF!</definedName>
    <definedName name="WYICDNG" localSheetId="7">#REF!</definedName>
    <definedName name="WYICDNG">#REF!</definedName>
    <definedName name="WYICDTH" localSheetId="7">#REF!</definedName>
    <definedName name="WYICDTH">#REF!</definedName>
    <definedName name="WYICGAS" localSheetId="7">#REF!</definedName>
    <definedName name="WYICGAS">#REF!</definedName>
    <definedName name="WYICSDNG" localSheetId="7">#REF!</definedName>
    <definedName name="WYICSDNG">#REF!</definedName>
    <definedName name="WYICSDTH" localSheetId="7">#REF!</definedName>
    <definedName name="WYICSDTH">#REF!</definedName>
    <definedName name="WYICSGAS" localSheetId="7">#REF!</definedName>
    <definedName name="WYICSGAS">#REF!</definedName>
    <definedName name="WYITCUSTOMERS">#REF!</definedName>
    <definedName name="WYITDNG" localSheetId="7">#REF!</definedName>
    <definedName name="WYITDNG">#REF!</definedName>
    <definedName name="WYITDTH" localSheetId="7">#REF!</definedName>
    <definedName name="WYITDTH">#REF!</definedName>
    <definedName name="WYITGAS" localSheetId="7">#REF!</definedName>
    <definedName name="WYITGAS">#REF!</definedName>
    <definedName name="Wym_Rates">#REF!</definedName>
    <definedName name="WYNGVCUSTOMERS">#REF!</definedName>
    <definedName name="WYNGVDNG" localSheetId="7">#REF!</definedName>
    <definedName name="WYNGVDNG">#REF!</definedName>
    <definedName name="WYNGVDTH" localSheetId="7">#REF!</definedName>
    <definedName name="WYNGVDTH">#REF!</definedName>
    <definedName name="WYNGVGAS" localSheetId="7">#REF!</definedName>
    <definedName name="WYNGVGAS">#REF!</definedName>
    <definedName name="X">#REF!</definedName>
    <definedName name="XXXX">#REF!</definedName>
    <definedName name="year">#REF!</definedName>
    <definedName name="YTD_Lbr_Var">#REF!</definedName>
    <definedName name="YTD_Lbr_Var_Pct">#REF!</definedName>
    <definedName name="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3" l="1"/>
  <c r="C8" i="25" l="1"/>
  <c r="C13" i="25" s="1"/>
  <c r="C11" i="25" l="1"/>
  <c r="C15" i="25"/>
  <c r="D40" i="6" l="1"/>
  <c r="E40" i="6" s="1"/>
  <c r="C14" i="24" l="1"/>
  <c r="D14" i="24"/>
  <c r="E10" i="6"/>
  <c r="D10" i="6"/>
  <c r="D35" i="24"/>
  <c r="C35" i="24"/>
  <c r="D29" i="24"/>
  <c r="D20" i="24"/>
  <c r="C20" i="24"/>
  <c r="E8" i="6"/>
  <c r="D12" i="6" l="1"/>
  <c r="E12" i="6"/>
  <c r="D38" i="24"/>
  <c r="C38" i="24"/>
  <c r="C41" i="24" s="1"/>
  <c r="D41" i="24" l="1"/>
  <c r="E16" i="6" s="1"/>
  <c r="D50" i="6"/>
  <c r="D47" i="6" l="1"/>
  <c r="D51" i="23" l="1"/>
  <c r="D35" i="23"/>
  <c r="C35" i="23"/>
  <c r="D29" i="23"/>
  <c r="C29" i="23"/>
  <c r="D20" i="23"/>
  <c r="C20" i="23"/>
  <c r="D14" i="23"/>
  <c r="C14" i="23"/>
  <c r="D38" i="23" l="1"/>
  <c r="D47" i="23" s="1"/>
  <c r="D53" i="23" s="1"/>
  <c r="C38" i="23"/>
  <c r="C41" i="23" s="1"/>
  <c r="D41" i="23" l="1"/>
  <c r="C36" i="6" l="1"/>
  <c r="A38" i="22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23" i="22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9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P39" i="22"/>
  <c r="P40" i="22" s="1"/>
  <c r="D39" i="22"/>
  <c r="D40" i="22" s="1"/>
  <c r="D41" i="22" s="1"/>
  <c r="E41" i="22" s="1"/>
  <c r="P22" i="22"/>
  <c r="P23" i="22" s="1"/>
  <c r="Q23" i="22" s="1"/>
  <c r="D8" i="22"/>
  <c r="D9" i="22" s="1"/>
  <c r="E9" i="22" s="1"/>
  <c r="P35" i="21"/>
  <c r="P36" i="21" s="1"/>
  <c r="D8" i="21"/>
  <c r="D9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P46" i="20"/>
  <c r="Q46" i="20" s="1"/>
  <c r="D6" i="20"/>
  <c r="D7" i="20" s="1"/>
  <c r="D8" i="20" s="1"/>
  <c r="A6" i="20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Q35" i="21" l="1"/>
  <c r="P47" i="20"/>
  <c r="Q47" i="20" s="1"/>
  <c r="D10" i="22"/>
  <c r="E39" i="22"/>
  <c r="F39" i="22" s="1"/>
  <c r="E8" i="20"/>
  <c r="D9" i="20"/>
  <c r="E7" i="20"/>
  <c r="F9" i="22"/>
  <c r="D11" i="22"/>
  <c r="E10" i="22"/>
  <c r="D10" i="21"/>
  <c r="E9" i="21"/>
  <c r="P24" i="22"/>
  <c r="Q40" i="22"/>
  <c r="P41" i="22"/>
  <c r="P37" i="21"/>
  <c r="Q36" i="21"/>
  <c r="D42" i="22"/>
  <c r="Q22" i="22"/>
  <c r="Q39" i="22"/>
  <c r="E40" i="22"/>
  <c r="P48" i="20" l="1"/>
  <c r="Q24" i="22"/>
  <c r="P25" i="22"/>
  <c r="F9" i="21"/>
  <c r="E10" i="21"/>
  <c r="D11" i="21"/>
  <c r="E11" i="22"/>
  <c r="D12" i="22"/>
  <c r="F10" i="22"/>
  <c r="Q41" i="22"/>
  <c r="P42" i="22"/>
  <c r="E42" i="22"/>
  <c r="D43" i="22"/>
  <c r="F7" i="20"/>
  <c r="F8" i="20" s="1"/>
  <c r="P49" i="20"/>
  <c r="Q48" i="20"/>
  <c r="F40" i="22"/>
  <c r="F41" i="22" s="1"/>
  <c r="Q37" i="21"/>
  <c r="P38" i="21"/>
  <c r="D10" i="20"/>
  <c r="E9" i="20"/>
  <c r="F11" i="22" l="1"/>
  <c r="D44" i="22"/>
  <c r="E43" i="22"/>
  <c r="D13" i="22"/>
  <c r="E12" i="22"/>
  <c r="F12" i="22" s="1"/>
  <c r="Q38" i="21"/>
  <c r="P39" i="21"/>
  <c r="F42" i="22"/>
  <c r="D12" i="21"/>
  <c r="E11" i="21"/>
  <c r="P43" i="22"/>
  <c r="Q42" i="22"/>
  <c r="F10" i="21"/>
  <c r="E10" i="20"/>
  <c r="D11" i="20"/>
  <c r="P26" i="22"/>
  <c r="Q25" i="22"/>
  <c r="Q49" i="20"/>
  <c r="P50" i="20"/>
  <c r="F9" i="20"/>
  <c r="F11" i="21" l="1"/>
  <c r="F10" i="20"/>
  <c r="E13" i="22"/>
  <c r="F13" i="22" s="1"/>
  <c r="D14" i="22"/>
  <c r="F43" i="22"/>
  <c r="E12" i="21"/>
  <c r="F12" i="21" s="1"/>
  <c r="D13" i="21"/>
  <c r="Q50" i="20"/>
  <c r="P51" i="20"/>
  <c r="P27" i="22"/>
  <c r="Q26" i="22"/>
  <c r="P40" i="21"/>
  <c r="Q39" i="21"/>
  <c r="D45" i="22"/>
  <c r="E44" i="22"/>
  <c r="Q43" i="22"/>
  <c r="P44" i="22"/>
  <c r="D12" i="20"/>
  <c r="E11" i="20"/>
  <c r="F11" i="20" s="1"/>
  <c r="Q51" i="20" l="1"/>
  <c r="P52" i="20"/>
  <c r="P45" i="22"/>
  <c r="Q44" i="22"/>
  <c r="D14" i="21"/>
  <c r="E13" i="21"/>
  <c r="F13" i="21" s="1"/>
  <c r="E12" i="20"/>
  <c r="F12" i="20" s="1"/>
  <c r="D13" i="20"/>
  <c r="F44" i="22"/>
  <c r="D15" i="22"/>
  <c r="E14" i="22"/>
  <c r="F14" i="22" s="1"/>
  <c r="E45" i="22"/>
  <c r="D46" i="22"/>
  <c r="Q27" i="22"/>
  <c r="P28" i="22"/>
  <c r="P41" i="21"/>
  <c r="Q40" i="21"/>
  <c r="F45" i="22" l="1"/>
  <c r="D14" i="20"/>
  <c r="E13" i="20"/>
  <c r="F13" i="20" s="1"/>
  <c r="Q41" i="21"/>
  <c r="P42" i="21"/>
  <c r="Q28" i="22"/>
  <c r="P29" i="22"/>
  <c r="P53" i="20"/>
  <c r="Q52" i="20"/>
  <c r="P46" i="22"/>
  <c r="Q45" i="22"/>
  <c r="E14" i="21"/>
  <c r="F14" i="21" s="1"/>
  <c r="D15" i="21"/>
  <c r="D47" i="22"/>
  <c r="E46" i="22"/>
  <c r="E15" i="22"/>
  <c r="F15" i="22" s="1"/>
  <c r="D16" i="22"/>
  <c r="P54" i="20" l="1"/>
  <c r="Q53" i="20"/>
  <c r="P30" i="22"/>
  <c r="Q29" i="22"/>
  <c r="Q42" i="21"/>
  <c r="P43" i="21"/>
  <c r="D48" i="22"/>
  <c r="E47" i="22"/>
  <c r="E14" i="20"/>
  <c r="F14" i="20" s="1"/>
  <c r="D15" i="20"/>
  <c r="D16" i="21"/>
  <c r="E15" i="21"/>
  <c r="F15" i="21" s="1"/>
  <c r="F46" i="22"/>
  <c r="Q46" i="22"/>
  <c r="P47" i="22"/>
  <c r="D17" i="22"/>
  <c r="E16" i="22"/>
  <c r="F16" i="22" s="1"/>
  <c r="E48" i="22" l="1"/>
  <c r="D49" i="22"/>
  <c r="P44" i="21"/>
  <c r="Q43" i="21"/>
  <c r="E17" i="22"/>
  <c r="F17" i="22" s="1"/>
  <c r="D18" i="22"/>
  <c r="Q47" i="22"/>
  <c r="P48" i="22"/>
  <c r="P31" i="22"/>
  <c r="Q30" i="22"/>
  <c r="F47" i="22"/>
  <c r="Q54" i="20"/>
  <c r="P55" i="20"/>
  <c r="E16" i="21"/>
  <c r="F16" i="21" s="1"/>
  <c r="D17" i="21"/>
  <c r="D16" i="20"/>
  <c r="E15" i="20"/>
  <c r="F15" i="20" s="1"/>
  <c r="D19" i="22" l="1"/>
  <c r="E18" i="22"/>
  <c r="F18" i="22" s="1"/>
  <c r="Q31" i="22"/>
  <c r="P32" i="22"/>
  <c r="P45" i="21"/>
  <c r="Q44" i="21"/>
  <c r="E49" i="22"/>
  <c r="D50" i="22"/>
  <c r="Q55" i="20"/>
  <c r="P56" i="20"/>
  <c r="P49" i="22"/>
  <c r="Q48" i="22"/>
  <c r="D18" i="21"/>
  <c r="E17" i="21"/>
  <c r="F17" i="21" s="1"/>
  <c r="E16" i="20"/>
  <c r="F16" i="20" s="1"/>
  <c r="D17" i="20"/>
  <c r="F48" i="22"/>
  <c r="Q45" i="21" l="1"/>
  <c r="P46" i="21"/>
  <c r="Q46" i="21" s="1"/>
  <c r="Q32" i="22"/>
  <c r="P33" i="22"/>
  <c r="Q33" i="22" s="1"/>
  <c r="F49" i="22"/>
  <c r="D18" i="20"/>
  <c r="E17" i="20"/>
  <c r="F17" i="20" s="1"/>
  <c r="E19" i="22"/>
  <c r="F19" i="22" s="1"/>
  <c r="D20" i="22"/>
  <c r="P50" i="22"/>
  <c r="Q50" i="22" s="1"/>
  <c r="Q49" i="22"/>
  <c r="E18" i="21"/>
  <c r="F18" i="21" s="1"/>
  <c r="D19" i="21"/>
  <c r="D51" i="22"/>
  <c r="G51" i="22" s="1"/>
  <c r="E50" i="22"/>
  <c r="E51" i="22" s="1"/>
  <c r="D52" i="22"/>
  <c r="P57" i="20"/>
  <c r="Q57" i="20" s="1"/>
  <c r="Q56" i="20"/>
  <c r="F50" i="22" l="1"/>
  <c r="D20" i="20"/>
  <c r="E18" i="20"/>
  <c r="E19" i="20" s="1"/>
  <c r="D19" i="20"/>
  <c r="D21" i="22"/>
  <c r="G21" i="22" s="1"/>
  <c r="D33" i="22"/>
  <c r="D29" i="22"/>
  <c r="E29" i="22" s="1"/>
  <c r="D25" i="22"/>
  <c r="E25" i="22" s="1"/>
  <c r="D30" i="22"/>
  <c r="E30" i="22" s="1"/>
  <c r="D26" i="22"/>
  <c r="E26" i="22" s="1"/>
  <c r="D22" i="22"/>
  <c r="E22" i="22" s="1"/>
  <c r="E20" i="22"/>
  <c r="E21" i="22" s="1"/>
  <c r="D31" i="22"/>
  <c r="E31" i="22" s="1"/>
  <c r="D27" i="22"/>
  <c r="E27" i="22" s="1"/>
  <c r="D23" i="22"/>
  <c r="E23" i="22" s="1"/>
  <c r="D32" i="22"/>
  <c r="E32" i="22" s="1"/>
  <c r="D28" i="22"/>
  <c r="E28" i="22" s="1"/>
  <c r="D24" i="22"/>
  <c r="E24" i="22" s="1"/>
  <c r="D20" i="21"/>
  <c r="E19" i="21"/>
  <c r="F19" i="21" s="1"/>
  <c r="E52" i="22"/>
  <c r="H51" i="22"/>
  <c r="F20" i="22" l="1"/>
  <c r="F22" i="22" s="1"/>
  <c r="F23" i="22" s="1"/>
  <c r="F24" i="22" s="1"/>
  <c r="F25" i="22" s="1"/>
  <c r="F26" i="22" s="1"/>
  <c r="F27" i="22" s="1"/>
  <c r="F28" i="22" s="1"/>
  <c r="F29" i="22" s="1"/>
  <c r="F30" i="22" s="1"/>
  <c r="F31" i="22" s="1"/>
  <c r="F32" i="22" s="1"/>
  <c r="E20" i="21"/>
  <c r="E21" i="21" s="1"/>
  <c r="D46" i="21"/>
  <c r="D42" i="21"/>
  <c r="E42" i="21" s="1"/>
  <c r="D38" i="21"/>
  <c r="E38" i="21" s="1"/>
  <c r="D43" i="21"/>
  <c r="E43" i="21" s="1"/>
  <c r="D39" i="21"/>
  <c r="E39" i="21" s="1"/>
  <c r="D35" i="21"/>
  <c r="E35" i="21" s="1"/>
  <c r="D33" i="21"/>
  <c r="D31" i="21"/>
  <c r="E31" i="21" s="1"/>
  <c r="D29" i="21"/>
  <c r="E29" i="21" s="1"/>
  <c r="D27" i="21"/>
  <c r="E27" i="21" s="1"/>
  <c r="D25" i="21"/>
  <c r="E25" i="21" s="1"/>
  <c r="D23" i="21"/>
  <c r="E23" i="21" s="1"/>
  <c r="D45" i="21"/>
  <c r="E45" i="21" s="1"/>
  <c r="D41" i="21"/>
  <c r="E41" i="21" s="1"/>
  <c r="D37" i="21"/>
  <c r="E37" i="21" s="1"/>
  <c r="D32" i="21"/>
  <c r="E32" i="21" s="1"/>
  <c r="D30" i="21"/>
  <c r="E30" i="21" s="1"/>
  <c r="D36" i="21"/>
  <c r="E36" i="21" s="1"/>
  <c r="D24" i="21"/>
  <c r="E24" i="21" s="1"/>
  <c r="D44" i="21"/>
  <c r="E44" i="21" s="1"/>
  <c r="D22" i="21"/>
  <c r="E22" i="21" s="1"/>
  <c r="D21" i="21"/>
  <c r="G21" i="21" s="1"/>
  <c r="D40" i="21"/>
  <c r="E40" i="21" s="1"/>
  <c r="D28" i="21"/>
  <c r="E28" i="21" s="1"/>
  <c r="D26" i="21"/>
  <c r="E26" i="21" s="1"/>
  <c r="J51" i="22"/>
  <c r="I51" i="22" s="1"/>
  <c r="G19" i="20"/>
  <c r="H19" i="20" s="1"/>
  <c r="D21" i="20"/>
  <c r="E20" i="20"/>
  <c r="D22" i="20"/>
  <c r="E33" i="22"/>
  <c r="E34" i="22" s="1"/>
  <c r="D34" i="22"/>
  <c r="G34" i="22" s="1"/>
  <c r="F51" i="22"/>
  <c r="F52" i="22"/>
  <c r="F18" i="20"/>
  <c r="D35" i="22"/>
  <c r="H21" i="22"/>
  <c r="F33" i="22" l="1"/>
  <c r="F34" i="22" s="1"/>
  <c r="F21" i="22"/>
  <c r="I39" i="22"/>
  <c r="M39" i="22" s="1"/>
  <c r="K39" i="22" s="1"/>
  <c r="I40" i="22"/>
  <c r="J19" i="20"/>
  <c r="I19" i="20" s="1"/>
  <c r="H34" i="22"/>
  <c r="E35" i="22"/>
  <c r="J21" i="22"/>
  <c r="I21" i="22" s="1"/>
  <c r="D48" i="21"/>
  <c r="D34" i="21"/>
  <c r="G34" i="21" s="1"/>
  <c r="E33" i="21"/>
  <c r="E34" i="21" s="1"/>
  <c r="F35" i="22"/>
  <c r="E21" i="20"/>
  <c r="D23" i="20"/>
  <c r="J48" i="22"/>
  <c r="N48" i="22" s="1"/>
  <c r="J45" i="22"/>
  <c r="N45" i="22" s="1"/>
  <c r="J42" i="22"/>
  <c r="N42" i="22" s="1"/>
  <c r="J39" i="22"/>
  <c r="N39" i="22" s="1"/>
  <c r="J49" i="22"/>
  <c r="N49" i="22" s="1"/>
  <c r="J43" i="22"/>
  <c r="N43" i="22" s="1"/>
  <c r="J40" i="22"/>
  <c r="N40" i="22" s="1"/>
  <c r="J50" i="22"/>
  <c r="N50" i="22" s="1"/>
  <c r="J47" i="22"/>
  <c r="N47" i="22" s="1"/>
  <c r="J44" i="22"/>
  <c r="N44" i="22" s="1"/>
  <c r="J41" i="22"/>
  <c r="N41" i="22" s="1"/>
  <c r="J46" i="22"/>
  <c r="N46" i="22" s="1"/>
  <c r="E22" i="20"/>
  <c r="D24" i="20"/>
  <c r="E46" i="21"/>
  <c r="E47" i="21" s="1"/>
  <c r="D47" i="21"/>
  <c r="G47" i="21" s="1"/>
  <c r="I48" i="22"/>
  <c r="M48" i="22" s="1"/>
  <c r="I45" i="22"/>
  <c r="M45" i="22" s="1"/>
  <c r="I42" i="22"/>
  <c r="M42" i="22" s="1"/>
  <c r="I46" i="22"/>
  <c r="M46" i="22" s="1"/>
  <c r="I43" i="22"/>
  <c r="M43" i="22" s="1"/>
  <c r="I50" i="22"/>
  <c r="M50" i="22" s="1"/>
  <c r="I47" i="22"/>
  <c r="M47" i="22" s="1"/>
  <c r="I44" i="22"/>
  <c r="M44" i="22" s="1"/>
  <c r="I41" i="22"/>
  <c r="M41" i="22" s="1"/>
  <c r="M40" i="22"/>
  <c r="I49" i="22"/>
  <c r="M49" i="22" s="1"/>
  <c r="H21" i="21"/>
  <c r="F20" i="20"/>
  <c r="F19" i="20"/>
  <c r="F20" i="21"/>
  <c r="H34" i="21" l="1"/>
  <c r="J34" i="21" s="1"/>
  <c r="D25" i="20"/>
  <c r="E23" i="20"/>
  <c r="H47" i="21"/>
  <c r="E48" i="21"/>
  <c r="K40" i="22"/>
  <c r="K41" i="22" s="1"/>
  <c r="K42" i="22" s="1"/>
  <c r="K43" i="22" s="1"/>
  <c r="K44" i="22" s="1"/>
  <c r="K45" i="22" s="1"/>
  <c r="K46" i="22" s="1"/>
  <c r="K47" i="22" s="1"/>
  <c r="K48" i="22" s="1"/>
  <c r="K49" i="22" s="1"/>
  <c r="K50" i="22" s="1"/>
  <c r="K51" i="22" s="1"/>
  <c r="K52" i="22" s="1"/>
  <c r="M51" i="22"/>
  <c r="L39" i="22"/>
  <c r="L40" i="22" s="1"/>
  <c r="L41" i="22" s="1"/>
  <c r="L42" i="22" s="1"/>
  <c r="L43" i="22" s="1"/>
  <c r="L44" i="22" s="1"/>
  <c r="L45" i="22" s="1"/>
  <c r="L46" i="22" s="1"/>
  <c r="L47" i="22" s="1"/>
  <c r="L48" i="22" s="1"/>
  <c r="L49" i="22" s="1"/>
  <c r="L50" i="22" s="1"/>
  <c r="L51" i="22" s="1"/>
  <c r="L52" i="22" s="1"/>
  <c r="N51" i="22"/>
  <c r="I19" i="22"/>
  <c r="I17" i="22"/>
  <c r="I15" i="22"/>
  <c r="I13" i="22"/>
  <c r="I11" i="22"/>
  <c r="I9" i="22"/>
  <c r="K9" i="22" s="1"/>
  <c r="I20" i="22"/>
  <c r="I18" i="22"/>
  <c r="I16" i="22"/>
  <c r="I14" i="22"/>
  <c r="I12" i="22"/>
  <c r="I10" i="22"/>
  <c r="F21" i="21"/>
  <c r="F22" i="21"/>
  <c r="F23" i="21" s="1"/>
  <c r="F24" i="21" s="1"/>
  <c r="F25" i="21" s="1"/>
  <c r="F26" i="21" s="1"/>
  <c r="F27" i="21" s="1"/>
  <c r="F28" i="21" s="1"/>
  <c r="F29" i="21" s="1"/>
  <c r="F30" i="21" s="1"/>
  <c r="F31" i="21" s="1"/>
  <c r="F32" i="21" s="1"/>
  <c r="F33" i="21" s="1"/>
  <c r="J20" i="22"/>
  <c r="J18" i="22"/>
  <c r="J16" i="22"/>
  <c r="J14" i="22"/>
  <c r="J12" i="22"/>
  <c r="J10" i="22"/>
  <c r="J19" i="22"/>
  <c r="J17" i="22"/>
  <c r="J15" i="22"/>
  <c r="J13" i="22"/>
  <c r="J11" i="22"/>
  <c r="J9" i="22"/>
  <c r="L9" i="22" s="1"/>
  <c r="F21" i="20"/>
  <c r="F22" i="20" s="1"/>
  <c r="F23" i="20" s="1"/>
  <c r="J34" i="22"/>
  <c r="I34" i="22" s="1"/>
  <c r="E24" i="20"/>
  <c r="D26" i="20"/>
  <c r="I16" i="20"/>
  <c r="I8" i="20"/>
  <c r="I17" i="20"/>
  <c r="I12" i="20"/>
  <c r="I7" i="20"/>
  <c r="K7" i="20" s="1"/>
  <c r="K8" i="20" s="1"/>
  <c r="I13" i="20"/>
  <c r="I15" i="20"/>
  <c r="I9" i="20"/>
  <c r="I11" i="20"/>
  <c r="I18" i="20"/>
  <c r="I14" i="20"/>
  <c r="I10" i="20"/>
  <c r="J21" i="21"/>
  <c r="I21" i="21" s="1"/>
  <c r="J18" i="20"/>
  <c r="J16" i="20"/>
  <c r="J14" i="20"/>
  <c r="J12" i="20"/>
  <c r="J10" i="20"/>
  <c r="J8" i="20"/>
  <c r="J17" i="20"/>
  <c r="J15" i="20"/>
  <c r="J13" i="20"/>
  <c r="J11" i="20"/>
  <c r="J9" i="20"/>
  <c r="J7" i="20"/>
  <c r="L7" i="20" s="1"/>
  <c r="L8" i="20" l="1"/>
  <c r="L9" i="20" s="1"/>
  <c r="L10" i="20" s="1"/>
  <c r="F24" i="20"/>
  <c r="K9" i="20"/>
  <c r="K10" i="20" s="1"/>
  <c r="K11" i="20" s="1"/>
  <c r="K12" i="20" s="1"/>
  <c r="K13" i="20" s="1"/>
  <c r="L10" i="22"/>
  <c r="I33" i="22"/>
  <c r="M33" i="22" s="1"/>
  <c r="I29" i="22"/>
  <c r="M29" i="22" s="1"/>
  <c r="I25" i="22"/>
  <c r="M25" i="22" s="1"/>
  <c r="I30" i="22"/>
  <c r="M30" i="22" s="1"/>
  <c r="I26" i="22"/>
  <c r="M26" i="22" s="1"/>
  <c r="I22" i="22"/>
  <c r="M22" i="22" s="1"/>
  <c r="I31" i="22"/>
  <c r="M31" i="22" s="1"/>
  <c r="I27" i="22"/>
  <c r="M27" i="22" s="1"/>
  <c r="I23" i="22"/>
  <c r="M23" i="22" s="1"/>
  <c r="I32" i="22"/>
  <c r="M32" i="22" s="1"/>
  <c r="I28" i="22"/>
  <c r="M28" i="22" s="1"/>
  <c r="I24" i="22"/>
  <c r="M24" i="22" s="1"/>
  <c r="I20" i="21"/>
  <c r="I18" i="21"/>
  <c r="I16" i="21"/>
  <c r="I14" i="21"/>
  <c r="I12" i="21"/>
  <c r="I10" i="21"/>
  <c r="I13" i="21"/>
  <c r="I11" i="21"/>
  <c r="I9" i="21"/>
  <c r="K9" i="21" s="1"/>
  <c r="K10" i="21" s="1"/>
  <c r="I19" i="21"/>
  <c r="I17" i="21"/>
  <c r="I15" i="21"/>
  <c r="L11" i="20"/>
  <c r="L12" i="20" s="1"/>
  <c r="L13" i="20" s="1"/>
  <c r="L14" i="20" s="1"/>
  <c r="L15" i="20" s="1"/>
  <c r="L16" i="20" s="1"/>
  <c r="L17" i="20" s="1"/>
  <c r="L18" i="20" s="1"/>
  <c r="E26" i="20"/>
  <c r="D28" i="20"/>
  <c r="F35" i="21"/>
  <c r="F36" i="21" s="1"/>
  <c r="F37" i="21" s="1"/>
  <c r="F38" i="21" s="1"/>
  <c r="F39" i="21" s="1"/>
  <c r="F40" i="21" s="1"/>
  <c r="F41" i="21" s="1"/>
  <c r="F42" i="21" s="1"/>
  <c r="F43" i="21" s="1"/>
  <c r="F44" i="21" s="1"/>
  <c r="F45" i="21" s="1"/>
  <c r="F46" i="21" s="1"/>
  <c r="F47" i="21" s="1"/>
  <c r="F34" i="21"/>
  <c r="J30" i="22"/>
  <c r="N30" i="22" s="1"/>
  <c r="J26" i="22"/>
  <c r="N26" i="22" s="1"/>
  <c r="J22" i="22"/>
  <c r="N22" i="22" s="1"/>
  <c r="J31" i="22"/>
  <c r="N31" i="22" s="1"/>
  <c r="J27" i="22"/>
  <c r="N27" i="22" s="1"/>
  <c r="J23" i="22"/>
  <c r="N23" i="22" s="1"/>
  <c r="J32" i="22"/>
  <c r="N32" i="22" s="1"/>
  <c r="J28" i="22"/>
  <c r="N28" i="22" s="1"/>
  <c r="J24" i="22"/>
  <c r="N24" i="22" s="1"/>
  <c r="J33" i="22"/>
  <c r="N33" i="22" s="1"/>
  <c r="J29" i="22"/>
  <c r="N29" i="22" s="1"/>
  <c r="J25" i="22"/>
  <c r="N25" i="22" s="1"/>
  <c r="L11" i="22"/>
  <c r="L12" i="22" s="1"/>
  <c r="L13" i="22" s="1"/>
  <c r="L14" i="22" s="1"/>
  <c r="L15" i="22" s="1"/>
  <c r="L16" i="22" s="1"/>
  <c r="L17" i="22" s="1"/>
  <c r="L18" i="22" s="1"/>
  <c r="L19" i="22" s="1"/>
  <c r="L20" i="22" s="1"/>
  <c r="J19" i="21"/>
  <c r="J17" i="21"/>
  <c r="J15" i="21"/>
  <c r="J13" i="21"/>
  <c r="J11" i="21"/>
  <c r="J9" i="21"/>
  <c r="L9" i="21" s="1"/>
  <c r="J20" i="21"/>
  <c r="J18" i="21"/>
  <c r="J16" i="21"/>
  <c r="J14" i="21"/>
  <c r="J12" i="21"/>
  <c r="J10" i="21"/>
  <c r="J47" i="21"/>
  <c r="K10" i="22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D27" i="20"/>
  <c r="E25" i="20"/>
  <c r="F25" i="20" s="1"/>
  <c r="K14" i="20"/>
  <c r="K15" i="20" s="1"/>
  <c r="K16" i="20" s="1"/>
  <c r="K17" i="20" s="1"/>
  <c r="K18" i="20" s="1"/>
  <c r="J33" i="21"/>
  <c r="J31" i="21"/>
  <c r="J29" i="21"/>
  <c r="J27" i="21"/>
  <c r="J25" i="21"/>
  <c r="J23" i="21"/>
  <c r="J32" i="21"/>
  <c r="J30" i="21"/>
  <c r="J28" i="21"/>
  <c r="J26" i="21"/>
  <c r="J24" i="21"/>
  <c r="J22" i="21"/>
  <c r="I34" i="21"/>
  <c r="F26" i="20" l="1"/>
  <c r="K22" i="22"/>
  <c r="K11" i="21"/>
  <c r="K12" i="21" s="1"/>
  <c r="K13" i="21" s="1"/>
  <c r="K14" i="21" s="1"/>
  <c r="K23" i="22"/>
  <c r="K24" i="22" s="1"/>
  <c r="K25" i="22" s="1"/>
  <c r="K26" i="22" s="1"/>
  <c r="K27" i="22" s="1"/>
  <c r="K28" i="22" s="1"/>
  <c r="K29" i="22" s="1"/>
  <c r="K30" i="22" s="1"/>
  <c r="K31" i="22" s="1"/>
  <c r="K32" i="22" s="1"/>
  <c r="K33" i="22" s="1"/>
  <c r="K34" i="22" s="1"/>
  <c r="K35" i="22" s="1"/>
  <c r="J43" i="21"/>
  <c r="N43" i="21" s="1"/>
  <c r="J39" i="21"/>
  <c r="N39" i="21" s="1"/>
  <c r="J35" i="21"/>
  <c r="N35" i="21" s="1"/>
  <c r="J44" i="21"/>
  <c r="N44" i="21" s="1"/>
  <c r="J40" i="21"/>
  <c r="N40" i="21" s="1"/>
  <c r="J36" i="21"/>
  <c r="N36" i="21" s="1"/>
  <c r="J46" i="21"/>
  <c r="N46" i="21" s="1"/>
  <c r="J42" i="21"/>
  <c r="N42" i="21" s="1"/>
  <c r="J38" i="21"/>
  <c r="N38" i="21" s="1"/>
  <c r="J45" i="21"/>
  <c r="N45" i="21" s="1"/>
  <c r="J41" i="21"/>
  <c r="N41" i="21" s="1"/>
  <c r="J37" i="21"/>
  <c r="N37" i="21" s="1"/>
  <c r="I47" i="21"/>
  <c r="L22" i="22"/>
  <c r="L23" i="22" s="1"/>
  <c r="L24" i="22" s="1"/>
  <c r="L25" i="22" s="1"/>
  <c r="L26" i="22" s="1"/>
  <c r="L27" i="22" s="1"/>
  <c r="L28" i="22" s="1"/>
  <c r="L29" i="22" s="1"/>
  <c r="L30" i="22" s="1"/>
  <c r="L31" i="22" s="1"/>
  <c r="L32" i="22" s="1"/>
  <c r="L33" i="22" s="1"/>
  <c r="L34" i="22" s="1"/>
  <c r="L35" i="22" s="1"/>
  <c r="L21" i="22"/>
  <c r="F48" i="21"/>
  <c r="L19" i="20"/>
  <c r="E28" i="20"/>
  <c r="D30" i="20"/>
  <c r="E30" i="20" s="1"/>
  <c r="L10" i="21"/>
  <c r="L11" i="21" s="1"/>
  <c r="L12" i="21" s="1"/>
  <c r="L13" i="21" s="1"/>
  <c r="L14" i="21" s="1"/>
  <c r="L15" i="21" s="1"/>
  <c r="L16" i="21" s="1"/>
  <c r="L17" i="21" s="1"/>
  <c r="L18" i="21" s="1"/>
  <c r="L19" i="21" s="1"/>
  <c r="L20" i="21" s="1"/>
  <c r="K15" i="21"/>
  <c r="K16" i="21" s="1"/>
  <c r="K17" i="21" s="1"/>
  <c r="K18" i="21" s="1"/>
  <c r="K19" i="21" s="1"/>
  <c r="K20" i="21" s="1"/>
  <c r="M34" i="22"/>
  <c r="K19" i="20"/>
  <c r="I33" i="21"/>
  <c r="I31" i="21"/>
  <c r="I29" i="21"/>
  <c r="I27" i="21"/>
  <c r="I25" i="21"/>
  <c r="I23" i="21"/>
  <c r="I32" i="21"/>
  <c r="I30" i="21"/>
  <c r="I28" i="21"/>
  <c r="I26" i="21"/>
  <c r="I24" i="21"/>
  <c r="I22" i="21"/>
  <c r="N34" i="22"/>
  <c r="E27" i="20"/>
  <c r="F27" i="20" s="1"/>
  <c r="F28" i="20" s="1"/>
  <c r="D29" i="20"/>
  <c r="E29" i="20" l="1"/>
  <c r="F29" i="20" s="1"/>
  <c r="F30" i="20" s="1"/>
  <c r="D31" i="20"/>
  <c r="I43" i="21"/>
  <c r="M43" i="21" s="1"/>
  <c r="I39" i="21"/>
  <c r="M39" i="21" s="1"/>
  <c r="I35" i="21"/>
  <c r="M35" i="21" s="1"/>
  <c r="I45" i="21"/>
  <c r="M45" i="21" s="1"/>
  <c r="I41" i="21"/>
  <c r="M41" i="21" s="1"/>
  <c r="I37" i="21"/>
  <c r="M37" i="21" s="1"/>
  <c r="I46" i="21"/>
  <c r="M46" i="21" s="1"/>
  <c r="I42" i="21"/>
  <c r="M42" i="21" s="1"/>
  <c r="I38" i="21"/>
  <c r="M38" i="21" s="1"/>
  <c r="I36" i="21"/>
  <c r="M36" i="21" s="1"/>
  <c r="I44" i="21"/>
  <c r="M44" i="21" s="1"/>
  <c r="I40" i="21"/>
  <c r="M40" i="21" s="1"/>
  <c r="K21" i="21"/>
  <c r="K22" i="21"/>
  <c r="K23" i="21" s="1"/>
  <c r="K24" i="21" s="1"/>
  <c r="K25" i="21" s="1"/>
  <c r="K26" i="21" s="1"/>
  <c r="K27" i="21" s="1"/>
  <c r="K28" i="21" s="1"/>
  <c r="K29" i="21" s="1"/>
  <c r="K30" i="21" s="1"/>
  <c r="K31" i="21" s="1"/>
  <c r="K32" i="21" s="1"/>
  <c r="K33" i="21" s="1"/>
  <c r="K34" i="21" s="1"/>
  <c r="L21" i="21"/>
  <c r="L22" i="21"/>
  <c r="L23" i="21" s="1"/>
  <c r="L24" i="21" s="1"/>
  <c r="L25" i="21" s="1"/>
  <c r="L26" i="21" s="1"/>
  <c r="L27" i="21" s="1"/>
  <c r="L28" i="21" s="1"/>
  <c r="L29" i="21" s="1"/>
  <c r="L30" i="21" s="1"/>
  <c r="L31" i="21" s="1"/>
  <c r="L32" i="21" s="1"/>
  <c r="L33" i="21" s="1"/>
  <c r="L34" i="21" s="1"/>
  <c r="L35" i="21" s="1"/>
  <c r="L36" i="21" s="1"/>
  <c r="L37" i="21" s="1"/>
  <c r="L38" i="21" s="1"/>
  <c r="L39" i="21" s="1"/>
  <c r="L40" i="21" s="1"/>
  <c r="L41" i="21" s="1"/>
  <c r="L42" i="21" s="1"/>
  <c r="L43" i="21" s="1"/>
  <c r="L44" i="21" s="1"/>
  <c r="L45" i="21" s="1"/>
  <c r="L46" i="21" s="1"/>
  <c r="L47" i="21" s="1"/>
  <c r="L48" i="21" s="1"/>
  <c r="N47" i="21"/>
  <c r="M47" i="21" l="1"/>
  <c r="E31" i="20"/>
  <c r="E32" i="20" s="1"/>
  <c r="D32" i="20"/>
  <c r="D33" i="20"/>
  <c r="K35" i="21"/>
  <c r="K36" i="21" s="1"/>
  <c r="K37" i="21" s="1"/>
  <c r="K38" i="21" s="1"/>
  <c r="K39" i="21" s="1"/>
  <c r="K40" i="21" s="1"/>
  <c r="K41" i="21" s="1"/>
  <c r="K42" i="21" s="1"/>
  <c r="K43" i="21" s="1"/>
  <c r="K44" i="21" s="1"/>
  <c r="K45" i="21" s="1"/>
  <c r="K46" i="21" s="1"/>
  <c r="K47" i="21" s="1"/>
  <c r="K48" i="21" s="1"/>
  <c r="E33" i="20" l="1"/>
  <c r="D35" i="20"/>
  <c r="G32" i="20"/>
  <c r="H32" i="20" s="1"/>
  <c r="D34" i="20"/>
  <c r="F31" i="20"/>
  <c r="J32" i="20" l="1"/>
  <c r="I32" i="20"/>
  <c r="E34" i="20"/>
  <c r="D36" i="20"/>
  <c r="F32" i="20"/>
  <c r="F33" i="20"/>
  <c r="F34" i="20" s="1"/>
  <c r="E35" i="20"/>
  <c r="D37" i="20"/>
  <c r="F35" i="20" l="1"/>
  <c r="E37" i="20"/>
  <c r="D39" i="20"/>
  <c r="I30" i="20"/>
  <c r="I28" i="20"/>
  <c r="I26" i="20"/>
  <c r="I24" i="20"/>
  <c r="I22" i="20"/>
  <c r="I20" i="20"/>
  <c r="K20" i="20" s="1"/>
  <c r="I31" i="20"/>
  <c r="I29" i="20"/>
  <c r="I27" i="20"/>
  <c r="I25" i="20"/>
  <c r="I23" i="20"/>
  <c r="I21" i="20"/>
  <c r="E36" i="20"/>
  <c r="F36" i="20" s="1"/>
  <c r="F37" i="20" s="1"/>
  <c r="D38" i="20"/>
  <c r="J30" i="20"/>
  <c r="J28" i="20"/>
  <c r="J26" i="20"/>
  <c r="J24" i="20"/>
  <c r="J22" i="20"/>
  <c r="J20" i="20"/>
  <c r="L20" i="20" s="1"/>
  <c r="J31" i="20"/>
  <c r="J29" i="20"/>
  <c r="J27" i="20"/>
  <c r="J25" i="20"/>
  <c r="J23" i="20"/>
  <c r="J21" i="20"/>
  <c r="L21" i="20" l="1"/>
  <c r="L22" i="20" s="1"/>
  <c r="L23" i="20" s="1"/>
  <c r="L24" i="20" s="1"/>
  <c r="L25" i="20" s="1"/>
  <c r="L26" i="20" s="1"/>
  <c r="L27" i="20" s="1"/>
  <c r="L28" i="20" s="1"/>
  <c r="L29" i="20" s="1"/>
  <c r="L30" i="20" s="1"/>
  <c r="L31" i="20" s="1"/>
  <c r="L32" i="20" s="1"/>
  <c r="E39" i="20"/>
  <c r="D41" i="20"/>
  <c r="K21" i="20"/>
  <c r="K22" i="20" s="1"/>
  <c r="K23" i="20" s="1"/>
  <c r="K24" i="20" s="1"/>
  <c r="K25" i="20" s="1"/>
  <c r="K26" i="20" s="1"/>
  <c r="K27" i="20" s="1"/>
  <c r="K28" i="20" s="1"/>
  <c r="K29" i="20" s="1"/>
  <c r="K30" i="20" s="1"/>
  <c r="K31" i="20" s="1"/>
  <c r="K32" i="20" s="1"/>
  <c r="E38" i="20"/>
  <c r="F38" i="20" s="1"/>
  <c r="F39" i="20" s="1"/>
  <c r="D40" i="20"/>
  <c r="E40" i="20" l="1"/>
  <c r="D42" i="20"/>
  <c r="E41" i="20"/>
  <c r="D43" i="20"/>
  <c r="E43" i="20" s="1"/>
  <c r="E42" i="20" l="1"/>
  <c r="D44" i="20"/>
  <c r="F40" i="20"/>
  <c r="F41" i="20" s="1"/>
  <c r="F42" i="20" s="1"/>
  <c r="F43" i="20" s="1"/>
  <c r="D46" i="20" l="1"/>
  <c r="E44" i="20"/>
  <c r="E45" i="20" s="1"/>
  <c r="D45" i="20"/>
  <c r="D48" i="20" l="1"/>
  <c r="E46" i="20"/>
  <c r="D47" i="20"/>
  <c r="G45" i="20"/>
  <c r="H45" i="20" s="1"/>
  <c r="F44" i="20"/>
  <c r="J45" i="20" l="1"/>
  <c r="I45" i="20"/>
  <c r="F45" i="20"/>
  <c r="F46" i="20"/>
  <c r="E47" i="20"/>
  <c r="D49" i="20"/>
  <c r="D50" i="20"/>
  <c r="E48" i="20"/>
  <c r="D51" i="20" l="1"/>
  <c r="E49" i="20"/>
  <c r="F47" i="20"/>
  <c r="F48" i="20" s="1"/>
  <c r="F49" i="20" s="1"/>
  <c r="F50" i="20" s="1"/>
  <c r="I41" i="20"/>
  <c r="I43" i="20"/>
  <c r="I39" i="20"/>
  <c r="I37" i="20"/>
  <c r="I35" i="20"/>
  <c r="I33" i="20"/>
  <c r="K33" i="20" s="1"/>
  <c r="I44" i="20"/>
  <c r="I42" i="20"/>
  <c r="I40" i="20"/>
  <c r="I38" i="20"/>
  <c r="I36" i="20"/>
  <c r="I34" i="20"/>
  <c r="D52" i="20"/>
  <c r="E50" i="20"/>
  <c r="J43" i="20"/>
  <c r="J41" i="20"/>
  <c r="J39" i="20"/>
  <c r="J37" i="20"/>
  <c r="J35" i="20"/>
  <c r="J33" i="20"/>
  <c r="L33" i="20" s="1"/>
  <c r="J38" i="20"/>
  <c r="J36" i="20"/>
  <c r="J44" i="20"/>
  <c r="J42" i="20"/>
  <c r="J40" i="20"/>
  <c r="J34" i="20"/>
  <c r="L34" i="20" l="1"/>
  <c r="L35" i="20" s="1"/>
  <c r="L36" i="20" s="1"/>
  <c r="L37" i="20" s="1"/>
  <c r="L38" i="20" s="1"/>
  <c r="L39" i="20" s="1"/>
  <c r="L40" i="20" s="1"/>
  <c r="L41" i="20" s="1"/>
  <c r="L42" i="20" s="1"/>
  <c r="L43" i="20" s="1"/>
  <c r="L44" i="20" s="1"/>
  <c r="K34" i="20"/>
  <c r="K35" i="20" s="1"/>
  <c r="K36" i="20" s="1"/>
  <c r="K37" i="20" s="1"/>
  <c r="K38" i="20" s="1"/>
  <c r="K39" i="20" s="1"/>
  <c r="K40" i="20" s="1"/>
  <c r="K41" i="20" s="1"/>
  <c r="K42" i="20" s="1"/>
  <c r="K43" i="20" s="1"/>
  <c r="K44" i="20" s="1"/>
  <c r="K45" i="20" s="1"/>
  <c r="E52" i="20"/>
  <c r="D54" i="20"/>
  <c r="L45" i="20"/>
  <c r="E51" i="20"/>
  <c r="F51" i="20" s="1"/>
  <c r="D53" i="20"/>
  <c r="F52" i="20" l="1"/>
  <c r="D55" i="20"/>
  <c r="E53" i="20"/>
  <c r="D56" i="20"/>
  <c r="E56" i="20" s="1"/>
  <c r="E54" i="20"/>
  <c r="E55" i="20" l="1"/>
  <c r="D57" i="20"/>
  <c r="D59" i="20"/>
  <c r="H7" i="19" s="1"/>
  <c r="D7" i="19" s="1"/>
  <c r="F53" i="20"/>
  <c r="F54" i="20" s="1"/>
  <c r="F55" i="20" s="1"/>
  <c r="F56" i="20" s="1"/>
  <c r="D58" i="20" l="1"/>
  <c r="G58" i="20" s="1"/>
  <c r="E57" i="20"/>
  <c r="E58" i="20" s="1"/>
  <c r="E59" i="20" l="1"/>
  <c r="H11" i="19" s="1"/>
  <c r="D11" i="19" s="1"/>
  <c r="H58" i="20"/>
  <c r="F57" i="20"/>
  <c r="F58" i="20" l="1"/>
  <c r="F59" i="20"/>
  <c r="H8" i="19" s="1"/>
  <c r="D8" i="19" s="1"/>
  <c r="J58" i="20"/>
  <c r="I58" i="20" s="1"/>
  <c r="J56" i="20" l="1"/>
  <c r="N56" i="20" s="1"/>
  <c r="J52" i="20"/>
  <c r="N52" i="20" s="1"/>
  <c r="J57" i="20"/>
  <c r="N57" i="20" s="1"/>
  <c r="J53" i="20"/>
  <c r="N53" i="20" s="1"/>
  <c r="J55" i="20"/>
  <c r="N55" i="20" s="1"/>
  <c r="J51" i="20"/>
  <c r="N51" i="20" s="1"/>
  <c r="J47" i="20"/>
  <c r="N47" i="20" s="1"/>
  <c r="J48" i="20"/>
  <c r="N48" i="20" s="1"/>
  <c r="J49" i="20"/>
  <c r="N49" i="20" s="1"/>
  <c r="J54" i="20"/>
  <c r="N54" i="20" s="1"/>
  <c r="J46" i="20"/>
  <c r="N46" i="20" s="1"/>
  <c r="J50" i="20"/>
  <c r="N50" i="20" s="1"/>
  <c r="I56" i="20"/>
  <c r="M56" i="20" s="1"/>
  <c r="I54" i="20"/>
  <c r="M54" i="20" s="1"/>
  <c r="I55" i="20"/>
  <c r="M55" i="20" s="1"/>
  <c r="I51" i="20"/>
  <c r="M51" i="20" s="1"/>
  <c r="I57" i="20"/>
  <c r="M57" i="20" s="1"/>
  <c r="I50" i="20"/>
  <c r="M50" i="20" s="1"/>
  <c r="I52" i="20"/>
  <c r="M52" i="20" s="1"/>
  <c r="I47" i="20"/>
  <c r="M47" i="20" s="1"/>
  <c r="I48" i="20"/>
  <c r="M48" i="20" s="1"/>
  <c r="I49" i="20"/>
  <c r="M49" i="20" s="1"/>
  <c r="I53" i="20"/>
  <c r="M53" i="20" s="1"/>
  <c r="I46" i="20"/>
  <c r="M46" i="20" s="1"/>
  <c r="N58" i="20" l="1"/>
  <c r="L46" i="20"/>
  <c r="L47" i="20" s="1"/>
  <c r="L48" i="20" s="1"/>
  <c r="L49" i="20" s="1"/>
  <c r="L50" i="20" s="1"/>
  <c r="L51" i="20" s="1"/>
  <c r="L52" i="20" s="1"/>
  <c r="L53" i="20" s="1"/>
  <c r="L54" i="20" s="1"/>
  <c r="L55" i="20" s="1"/>
  <c r="L56" i="20" s="1"/>
  <c r="L57" i="20" s="1"/>
  <c r="L58" i="20" s="1"/>
  <c r="L59" i="20" s="1"/>
  <c r="H10" i="19" s="1"/>
  <c r="D10" i="19" s="1"/>
  <c r="M58" i="20"/>
  <c r="K46" i="20"/>
  <c r="K47" i="20" s="1"/>
  <c r="K48" i="20" s="1"/>
  <c r="K49" i="20" s="1"/>
  <c r="K50" i="20" s="1"/>
  <c r="K51" i="20" s="1"/>
  <c r="K52" i="20" s="1"/>
  <c r="K53" i="20" s="1"/>
  <c r="K54" i="20" s="1"/>
  <c r="K55" i="20" s="1"/>
  <c r="K56" i="20" s="1"/>
  <c r="K57" i="20" s="1"/>
  <c r="K58" i="20" s="1"/>
  <c r="K59" i="20" s="1"/>
  <c r="H9" i="19" s="1"/>
  <c r="D9" i="19" s="1"/>
  <c r="F11" i="5" l="1"/>
  <c r="H11" i="5" s="1"/>
  <c r="D51" i="18" l="1"/>
  <c r="D35" i="18"/>
  <c r="C35" i="18"/>
  <c r="D29" i="18"/>
  <c r="C29" i="18"/>
  <c r="D20" i="18"/>
  <c r="C20" i="18"/>
  <c r="D14" i="18"/>
  <c r="C14" i="18"/>
  <c r="C38" i="18" l="1"/>
  <c r="C41" i="18" s="1"/>
  <c r="D38" i="18"/>
  <c r="D47" i="18" s="1"/>
  <c r="D53" i="18" s="1"/>
  <c r="D41" i="18" l="1"/>
  <c r="H44" i="2"/>
  <c r="G6" i="3"/>
  <c r="G8" i="3" l="1"/>
  <c r="G10" i="3" l="1"/>
  <c r="H3" i="2" s="1"/>
  <c r="H21" i="2" l="1"/>
  <c r="H17" i="2"/>
  <c r="H14" i="2"/>
  <c r="H8" i="2"/>
  <c r="G38" i="2"/>
  <c r="F9" i="2"/>
  <c r="F12" i="2"/>
  <c r="G12" i="2" s="1"/>
  <c r="H12" i="2" s="1"/>
  <c r="F14" i="2"/>
  <c r="L11" i="5" l="1"/>
  <c r="E21" i="2" s="1"/>
  <c r="F21" i="2" s="1"/>
  <c r="D16" i="2" l="1"/>
  <c r="F16" i="2" s="1"/>
  <c r="D17" i="2"/>
  <c r="F17" i="2" s="1"/>
  <c r="D18" i="2"/>
  <c r="F18" i="2" s="1"/>
  <c r="D19" i="2"/>
  <c r="F19" i="2" s="1"/>
  <c r="D15" i="2"/>
  <c r="G19" i="2" l="1"/>
  <c r="H19" i="2" s="1"/>
  <c r="D23" i="2"/>
  <c r="G18" i="2"/>
  <c r="H18" i="2" s="1"/>
  <c r="G16" i="2"/>
  <c r="H16" i="2" s="1"/>
  <c r="F15" i="2"/>
  <c r="G15" i="2" l="1"/>
  <c r="H15" i="2" s="1"/>
  <c r="C9" i="2" l="1"/>
  <c r="C23" i="2" s="1"/>
  <c r="D7" i="2" l="1"/>
  <c r="F7" i="2" s="1"/>
  <c r="G7" i="2" s="1"/>
  <c r="H7" i="2" s="1"/>
  <c r="H9" i="2" s="1"/>
  <c r="D8" i="2" l="1"/>
  <c r="F8" i="2" s="1"/>
  <c r="G9" i="2"/>
  <c r="D16" i="17" l="1"/>
  <c r="E16" i="17" s="1"/>
  <c r="F16" i="17" s="1"/>
  <c r="F12" i="17"/>
  <c r="E12" i="17"/>
  <c r="D51" i="16"/>
  <c r="D35" i="16"/>
  <c r="C35" i="16"/>
  <c r="D29" i="16"/>
  <c r="C29" i="16"/>
  <c r="D20" i="16"/>
  <c r="C20" i="16"/>
  <c r="D14" i="16"/>
  <c r="C14" i="16"/>
  <c r="D18" i="17" l="1"/>
  <c r="C38" i="16"/>
  <c r="C41" i="16" s="1"/>
  <c r="D38" i="16"/>
  <c r="D47" i="16" s="1"/>
  <c r="D53" i="16" s="1"/>
  <c r="D41" i="16" l="1"/>
  <c r="E18" i="17"/>
  <c r="D51" i="4"/>
  <c r="C35" i="4"/>
  <c r="D29" i="4"/>
  <c r="C29" i="4"/>
  <c r="D20" i="4"/>
  <c r="C20" i="4"/>
  <c r="D14" i="4"/>
  <c r="C14" i="4"/>
  <c r="F18" i="17" l="1"/>
  <c r="H26" i="2"/>
  <c r="C38" i="4"/>
  <c r="C41" i="4" s="1"/>
  <c r="F9" i="5"/>
  <c r="H9" i="5" l="1"/>
  <c r="L9" i="5" s="1"/>
  <c r="L13" i="5" s="1"/>
  <c r="H27" i="2" l="1"/>
  <c r="H28" i="2" s="1"/>
  <c r="E11" i="2"/>
  <c r="F11" i="2" s="1"/>
  <c r="E23" i="2" l="1"/>
  <c r="G11" i="2" l="1"/>
  <c r="F23" i="2"/>
  <c r="G23" i="2" l="1"/>
  <c r="H11" i="2"/>
  <c r="H23" i="2" s="1"/>
  <c r="H29" i="2" s="1"/>
  <c r="H30" i="2" s="1"/>
  <c r="E35" i="6" l="1"/>
  <c r="E34" i="6"/>
  <c r="C42" i="6" l="1"/>
  <c r="E41" i="6"/>
  <c r="E36" i="6"/>
  <c r="D35" i="4"/>
  <c r="D38" i="4" s="1"/>
  <c r="D47" i="4" s="1"/>
  <c r="D26" i="6" l="1"/>
  <c r="D14" i="6"/>
  <c r="D18" i="6" s="1"/>
  <c r="D20" i="6" s="1"/>
  <c r="E42" i="6"/>
  <c r="D27" i="6"/>
  <c r="D28" i="6" s="1"/>
  <c r="D41" i="4"/>
  <c r="D53" i="4"/>
  <c r="E26" i="6" l="1"/>
  <c r="E27" i="6"/>
  <c r="E14" i="6"/>
  <c r="E18" i="6" s="1"/>
  <c r="E20" i="6" s="1"/>
  <c r="E28" i="6" l="1"/>
  <c r="E22" i="6" s="1"/>
  <c r="D22" i="6"/>
  <c r="D24" i="6" s="1"/>
  <c r="E24" i="6" l="1"/>
  <c r="E30" i="6" s="1"/>
</calcChain>
</file>

<file path=xl/sharedStrings.xml><?xml version="1.0" encoding="utf-8"?>
<sst xmlns="http://schemas.openxmlformats.org/spreadsheetml/2006/main" count="591" uniqueCount="292">
  <si>
    <t>UT Jurisdiction DNG</t>
  </si>
  <si>
    <t xml:space="preserve">Line
 No. </t>
  </si>
  <si>
    <t xml:space="preserve">(a) </t>
  </si>
  <si>
    <t xml:space="preserve">(b) </t>
  </si>
  <si>
    <t>Utility Operating Revenue</t>
  </si>
  <si>
    <t>System Distribution Non-Gas Revenue</t>
  </si>
  <si>
    <t>System Supplier Non-Gas Revenue</t>
  </si>
  <si>
    <t>System Commodity Revenue</t>
  </si>
  <si>
    <t>Pass-Through Related Other Revenue</t>
  </si>
  <si>
    <t>General Related Other Revenue</t>
  </si>
  <si>
    <t>Total Utility Operating Revenue</t>
  </si>
  <si>
    <t>Utility Operating Expenses</t>
  </si>
  <si>
    <t>Gas Purchase Expenses</t>
  </si>
  <si>
    <t>Utah</t>
  </si>
  <si>
    <t>Wyoming</t>
  </si>
  <si>
    <t>Total</t>
  </si>
  <si>
    <t>O&amp;M Expenses</t>
  </si>
  <si>
    <t>Production</t>
  </si>
  <si>
    <t>Distribution</t>
  </si>
  <si>
    <t>Customer Accounts</t>
  </si>
  <si>
    <t>Customer Service &amp; Information</t>
  </si>
  <si>
    <t>Administrative &amp; General</t>
  </si>
  <si>
    <t>Total O&amp;M Expense</t>
  </si>
  <si>
    <t>Other Operating Expenses</t>
  </si>
  <si>
    <t>Depreciation, Depletion, Amortization</t>
  </si>
  <si>
    <t>Taxes Other Than Income Taxes</t>
  </si>
  <si>
    <t>Income Taxes</t>
  </si>
  <si>
    <t>Total Other Operating Expenses</t>
  </si>
  <si>
    <t>Total Utility Operating Expenses</t>
  </si>
  <si>
    <t>Net Operating Income</t>
  </si>
  <si>
    <t>Total Rate Base Impact</t>
  </si>
  <si>
    <r>
      <t xml:space="preserve">Operating Income Revenue Req. Impact </t>
    </r>
    <r>
      <rPr>
        <vertAlign val="superscript"/>
        <sz val="11"/>
        <color theme="1"/>
        <rFont val="Times New Roman"/>
        <family val="1"/>
      </rPr>
      <t>2</t>
    </r>
  </si>
  <si>
    <r>
      <t xml:space="preserve">Return on Rate Base </t>
    </r>
    <r>
      <rPr>
        <vertAlign val="superscript"/>
        <sz val="11"/>
        <color theme="1"/>
        <rFont val="Times New Roman"/>
        <family val="1"/>
      </rPr>
      <t>3</t>
    </r>
  </si>
  <si>
    <r>
      <t xml:space="preserve">Rate Base Revenue Req. Impact </t>
    </r>
    <r>
      <rPr>
        <vertAlign val="superscript"/>
        <sz val="11"/>
        <color theme="1"/>
        <rFont val="Times New Roman"/>
        <family val="1"/>
      </rPr>
      <t>4</t>
    </r>
  </si>
  <si>
    <r>
      <t xml:space="preserve">Total Revenue Req. Impact </t>
    </r>
    <r>
      <rPr>
        <vertAlign val="superscript"/>
        <sz val="11"/>
        <color theme="1"/>
        <rFont val="Times New Roman"/>
        <family val="1"/>
      </rPr>
      <t>5</t>
    </r>
  </si>
  <si>
    <t>Data Sources/Notes</t>
  </si>
  <si>
    <t xml:space="preserve">Total System </t>
  </si>
  <si>
    <t>Labor Expense Component</t>
  </si>
  <si>
    <t xml:space="preserve">Total </t>
  </si>
  <si>
    <t>Month</t>
  </si>
  <si>
    <t xml:space="preserve">Line </t>
  </si>
  <si>
    <t xml:space="preserve">Adjusted System Total </t>
  </si>
  <si>
    <t xml:space="preserve">Adjusted System 
Total </t>
  </si>
  <si>
    <t xml:space="preserve">No. </t>
  </si>
  <si>
    <t xml:space="preserve">Acct. </t>
  </si>
  <si>
    <t xml:space="preserve">Description </t>
  </si>
  <si>
    <t xml:space="preserve">Weight </t>
  </si>
  <si>
    <t xml:space="preserve">Cost </t>
  </si>
  <si>
    <t xml:space="preserve">Weighted Cost </t>
  </si>
  <si>
    <t xml:space="preserve">Long-Term Debt </t>
  </si>
  <si>
    <t xml:space="preserve">Common Equity </t>
  </si>
  <si>
    <t>State</t>
  </si>
  <si>
    <t>ADIT - Fed - General</t>
  </si>
  <si>
    <t>ADIT - State - General</t>
  </si>
  <si>
    <t>Year 1</t>
  </si>
  <si>
    <t>Year 2</t>
  </si>
  <si>
    <t>Year 3</t>
  </si>
  <si>
    <t>ADIT- State</t>
  </si>
  <si>
    <t>Accumulated Book Dep.</t>
  </si>
  <si>
    <t>Factor</t>
  </si>
  <si>
    <t>Days</t>
  </si>
  <si>
    <t>Fed</t>
  </si>
  <si>
    <t>2023 Total</t>
  </si>
  <si>
    <t>Accumulated Provision for Depreciation - General</t>
  </si>
  <si>
    <t xml:space="preserve">Depreciation Expense - General </t>
  </si>
  <si>
    <r>
      <t xml:space="preserve">General Plant - Structures &amp; Improvements </t>
    </r>
    <r>
      <rPr>
        <vertAlign val="superscript"/>
        <sz val="11"/>
        <color theme="1"/>
        <rFont val="Times New Roman"/>
        <family val="1"/>
      </rPr>
      <t>2</t>
    </r>
  </si>
  <si>
    <t xml:space="preserve">Book - Tax Dep. </t>
  </si>
  <si>
    <t>FTE Employee Count Detail</t>
  </si>
  <si>
    <r>
      <t>Tax Depreciation Expense</t>
    </r>
    <r>
      <rPr>
        <b/>
        <vertAlign val="superscript"/>
        <sz val="11"/>
        <color theme="1"/>
        <rFont val="Times New Roman"/>
        <family val="1"/>
      </rPr>
      <t xml:space="preserve"> 2</t>
    </r>
  </si>
  <si>
    <r>
      <t xml:space="preserve">Book Depreciation Expense </t>
    </r>
    <r>
      <rPr>
        <b/>
        <vertAlign val="superscript"/>
        <sz val="11"/>
        <color theme="1"/>
        <rFont val="Times New Roman"/>
        <family val="1"/>
      </rPr>
      <t>1</t>
    </r>
  </si>
  <si>
    <r>
      <t>Deferred Tax - Fed</t>
    </r>
    <r>
      <rPr>
        <b/>
        <vertAlign val="superscript"/>
        <sz val="11"/>
        <color theme="1"/>
        <rFont val="Times New Roman"/>
        <family val="1"/>
      </rPr>
      <t xml:space="preserve"> 3</t>
    </r>
  </si>
  <si>
    <r>
      <t xml:space="preserve">Deferred Tax - State </t>
    </r>
    <r>
      <rPr>
        <b/>
        <vertAlign val="superscript"/>
        <sz val="11"/>
        <color theme="1"/>
        <rFont val="Times New Roman"/>
        <family val="1"/>
      </rPr>
      <t>3</t>
    </r>
  </si>
  <si>
    <t>Cumulative Gross Additions</t>
  </si>
  <si>
    <t>2023 Additions</t>
  </si>
  <si>
    <t>(b)</t>
  </si>
  <si>
    <t>(d)</t>
  </si>
  <si>
    <t>(c)</t>
  </si>
  <si>
    <t>(e)</t>
  </si>
  <si>
    <t>(f)</t>
  </si>
  <si>
    <t xml:space="preserve">UAE Financial Incentive Compensation Expense Adjustment </t>
  </si>
  <si>
    <t>Various</t>
  </si>
  <si>
    <r>
      <t>Est. Incremental Payroll Tax Adj.</t>
    </r>
    <r>
      <rPr>
        <vertAlign val="superscript"/>
        <sz val="11"/>
        <color theme="1"/>
        <rFont val="Times New Roman"/>
        <family val="1"/>
      </rPr>
      <t xml:space="preserve"> 3</t>
    </r>
  </si>
  <si>
    <t>Storage</t>
  </si>
  <si>
    <r>
      <t xml:space="preserve">2. Line 26 </t>
    </r>
    <r>
      <rPr>
        <sz val="11"/>
        <color theme="1"/>
        <rFont val="Times New Roman"/>
        <family val="1"/>
      </rPr>
      <t xml:space="preserve">× Line 29. </t>
    </r>
  </si>
  <si>
    <t xml:space="preserve">4. Line 28 × Line 29  × Line 31. </t>
  </si>
  <si>
    <t>5. Line 30 + Line 32.</t>
  </si>
  <si>
    <t>UAE 
Incentive Comp. 
Exp. Adjustment</t>
  </si>
  <si>
    <r>
      <rPr>
        <sz val="11"/>
        <color theme="1"/>
        <rFont val="Times New Roman"/>
        <family val="1"/>
      </rPr>
      <t>Income-to-Revenue Multiplier</t>
    </r>
    <r>
      <rPr>
        <vertAlign val="superscript"/>
        <sz val="11"/>
        <color theme="1"/>
        <rFont val="Times New Roman"/>
        <family val="1"/>
      </rPr>
      <t>1</t>
    </r>
  </si>
  <si>
    <t xml:space="preserve">1. 25-057-06 EGU Exhibit 5.14U - Electronic Model - Summers 5-14-2025, ROR-Model tab. </t>
  </si>
  <si>
    <t xml:space="preserve">3.  Estimated based on employer FICA rate: </t>
  </si>
  <si>
    <r>
      <t xml:space="preserve">2024 Affiliate Labor Correction </t>
    </r>
    <r>
      <rPr>
        <vertAlign val="superscript"/>
        <sz val="11"/>
        <color theme="1"/>
        <rFont val="Times New Roman"/>
        <family val="1"/>
      </rPr>
      <t>2</t>
    </r>
  </si>
  <si>
    <t xml:space="preserve">2. Corrects 2024 affiliate labor expense from 25-057-06 EGU Exhibit 5.14U - Electronic Model - Summers 5-14-2025, Labor Forecast tab. </t>
  </si>
  <si>
    <t>2025 Budget</t>
  </si>
  <si>
    <t xml:space="preserve">2024 Actual </t>
  </si>
  <si>
    <t>2026 Budget</t>
  </si>
  <si>
    <r>
      <t xml:space="preserve">Enbridge As-Filed Year-to-Year % Labor Exp. Change </t>
    </r>
    <r>
      <rPr>
        <vertAlign val="superscript"/>
        <sz val="11"/>
        <color theme="1"/>
        <rFont val="Times New Roman"/>
        <family val="1"/>
      </rPr>
      <t>3</t>
    </r>
  </si>
  <si>
    <t xml:space="preserve">4. See 25-05-06 - UAE Direct RR Model, Labor Forecast tab. </t>
  </si>
  <si>
    <t xml:space="preserve">3. See 25-057-06 EGU Exhibit 5.14U - Electronic Model - Summers 5-14-2025, Labor Forecast tab. </t>
  </si>
  <si>
    <r>
      <t xml:space="preserve">Incremental Impact to Year-to-Year % Change </t>
    </r>
    <r>
      <rPr>
        <vertAlign val="superscript"/>
        <sz val="11"/>
        <color theme="1"/>
        <rFont val="Times New Roman"/>
        <family val="1"/>
      </rPr>
      <t>5</t>
    </r>
  </si>
  <si>
    <t xml:space="preserve">5. Line 3 - Line 2. </t>
  </si>
  <si>
    <r>
      <t xml:space="preserve">Enbridge As-Filed Payroll Taxes </t>
    </r>
    <r>
      <rPr>
        <vertAlign val="superscript"/>
        <sz val="11"/>
        <color theme="1"/>
        <rFont val="Times New Roman"/>
        <family val="1"/>
      </rPr>
      <t>6</t>
    </r>
  </si>
  <si>
    <r>
      <t>Escalated Payroll Taxes</t>
    </r>
    <r>
      <rPr>
        <vertAlign val="superscript"/>
        <sz val="11"/>
        <color theme="1"/>
        <rFont val="Times New Roman"/>
        <family val="1"/>
      </rPr>
      <t xml:space="preserve"> 7</t>
    </r>
  </si>
  <si>
    <t xml:space="preserve">6. 25-057-06 EGU Exhibit 5.14U - Electronic Model - Summers 5-14-2025, Other Taxes tab. </t>
  </si>
  <si>
    <r>
      <t xml:space="preserve">Incremental Impact to Payroll Taxes </t>
    </r>
    <r>
      <rPr>
        <vertAlign val="superscript"/>
        <sz val="11"/>
        <color theme="1"/>
        <rFont val="Times New Roman"/>
        <family val="1"/>
      </rPr>
      <t>8</t>
    </r>
  </si>
  <si>
    <t xml:space="preserve">8. Line 6 - Line 5. </t>
  </si>
  <si>
    <t xml:space="preserve">7. Escalates payroll taxes based on overall labor year-over-year % increases from Line 3. </t>
  </si>
  <si>
    <t xml:space="preserve">1. This adjustment consists of several components designed to reflect what UAE believes were Enbridge's intended adjustments, </t>
  </si>
  <si>
    <t xml:space="preserve">     to establish a consistent baseline prior to applying further UAE adjustments to labor costs.</t>
  </si>
  <si>
    <t xml:space="preserve">    to 2024 actual labor expenses on the PROJECTED EXPENSES tab. </t>
  </si>
  <si>
    <r>
      <t>Year-to-Year % Labor Exp. Change with Correction</t>
    </r>
    <r>
      <rPr>
        <vertAlign val="superscript"/>
        <sz val="11"/>
        <color theme="1"/>
        <rFont val="Times New Roman"/>
        <family val="1"/>
      </rPr>
      <t xml:space="preserve"> 4</t>
    </r>
  </si>
  <si>
    <t xml:space="preserve">    Enbridge's formulas link to the year-over-year % changes for 2022 and 2023 instead of 2025 and 2026. </t>
  </si>
  <si>
    <r>
      <t xml:space="preserve">2024 </t>
    </r>
    <r>
      <rPr>
        <vertAlign val="superscript"/>
        <sz val="11"/>
        <color theme="1"/>
        <rFont val="Times New Roman"/>
        <family val="1"/>
      </rPr>
      <t>2</t>
    </r>
  </si>
  <si>
    <t>EGU Financial Incentive Comp. Exp.</t>
  </si>
  <si>
    <t>DES Financial Incentive Comp. Exp.</t>
  </si>
  <si>
    <t xml:space="preserve">Enbridge 2025 Forecast Labor Expenses </t>
  </si>
  <si>
    <t xml:space="preserve">Enbridge 2026 Forecast Labor Expenses </t>
  </si>
  <si>
    <r>
      <rPr>
        <sz val="11"/>
        <color theme="1"/>
        <rFont val="Times New Roman"/>
        <family val="1"/>
      </rPr>
      <t>Enbridge proposed year-over-year Incentive Accrual Expense Increase</t>
    </r>
    <r>
      <rPr>
        <vertAlign val="superscript"/>
        <sz val="11"/>
        <color theme="1"/>
        <rFont val="Times New Roman"/>
        <family val="1"/>
      </rPr>
      <t xml:space="preserve"> 1</t>
    </r>
  </si>
  <si>
    <t xml:space="preserve">2024-25 FTE Count </t>
  </si>
  <si>
    <t xml:space="preserve">1. Based on MDR_22 D.23 Attachment 1. </t>
  </si>
  <si>
    <r>
      <t xml:space="preserve">Budget/Forecast </t>
    </r>
    <r>
      <rPr>
        <vertAlign val="superscript"/>
        <sz val="11"/>
        <color theme="1"/>
        <rFont val="Times New Roman"/>
        <family val="1"/>
      </rPr>
      <t>1</t>
    </r>
  </si>
  <si>
    <r>
      <t xml:space="preserve">Actuals  </t>
    </r>
    <r>
      <rPr>
        <vertAlign val="superscript"/>
        <sz val="11"/>
        <color theme="1"/>
        <rFont val="Times New Roman"/>
        <family val="1"/>
      </rPr>
      <t>2</t>
    </r>
  </si>
  <si>
    <t>FTE Difference:</t>
  </si>
  <si>
    <t>% Difference:</t>
  </si>
  <si>
    <r>
      <t xml:space="preserve">2026 Budget </t>
    </r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2"/>
      </rPr>
      <t>:</t>
    </r>
  </si>
  <si>
    <t xml:space="preserve">Incremental Payroll Tax Expense Adj.  </t>
  </si>
  <si>
    <t>(g)</t>
  </si>
  <si>
    <t xml:space="preserve">1. UAE Exhibit RR 1.3, p. 2. </t>
  </si>
  <si>
    <t xml:space="preserve">Line No. </t>
  </si>
  <si>
    <r>
      <t>UAE Adj. to Remove Financial Incentive
 Comp. Expense</t>
    </r>
    <r>
      <rPr>
        <vertAlign val="superscript"/>
        <sz val="11"/>
        <rFont val="Times New Roman"/>
        <family val="1"/>
      </rPr>
      <t xml:space="preserve"> 2</t>
    </r>
  </si>
  <si>
    <t xml:space="preserve">2. UAE Exhibit RR 1.2, p. 2. </t>
  </si>
  <si>
    <t xml:space="preserve">3. Column (c) + Column (d). </t>
  </si>
  <si>
    <t xml:space="preserve">5. Column (f) × percentage reduction in Actual FTE employee count relative to 2026 Budget. </t>
  </si>
  <si>
    <t xml:space="preserve">6. Based on estimated Standard Time and Overtime proportions of total 2025 budget wage expense from MDR_22 B.04 Attachment 1, 2025 Budget. Standard Time: </t>
  </si>
  <si>
    <r>
      <t>Wages - Standard Time</t>
    </r>
    <r>
      <rPr>
        <vertAlign val="superscript"/>
        <sz val="11"/>
        <rFont val="Times New Roman"/>
        <family val="1"/>
      </rPr>
      <t xml:space="preserve"> 6</t>
    </r>
  </si>
  <si>
    <r>
      <t>Wages- Total</t>
    </r>
    <r>
      <rPr>
        <vertAlign val="superscript"/>
        <sz val="11"/>
        <rFont val="Times New Roman"/>
        <family val="1"/>
      </rPr>
      <t xml:space="preserve"> 7</t>
    </r>
  </si>
  <si>
    <r>
      <t>Incentive Accrual Expense</t>
    </r>
    <r>
      <rPr>
        <vertAlign val="superscript"/>
        <sz val="11"/>
        <rFont val="Times New Roman"/>
        <family val="1"/>
      </rPr>
      <t xml:space="preserve"> 8</t>
    </r>
  </si>
  <si>
    <r>
      <t>Stock Compensation Expense</t>
    </r>
    <r>
      <rPr>
        <vertAlign val="superscript"/>
        <sz val="11"/>
        <rFont val="Times New Roman"/>
        <family val="1"/>
      </rPr>
      <t xml:space="preserve"> 8</t>
    </r>
  </si>
  <si>
    <t xml:space="preserve">8. 2025 and 2026 Forecast expenses from EGU Exhibit 4.06. </t>
  </si>
  <si>
    <t xml:space="preserve">9. Pension expense is shown as $0 including Enbridge's pension adjustment. </t>
  </si>
  <si>
    <r>
      <t xml:space="preserve">Pension </t>
    </r>
    <r>
      <rPr>
        <vertAlign val="superscript"/>
        <sz val="11"/>
        <rFont val="Times New Roman"/>
        <family val="1"/>
      </rPr>
      <t>9</t>
    </r>
  </si>
  <si>
    <r>
      <t>Health</t>
    </r>
    <r>
      <rPr>
        <vertAlign val="superscript"/>
        <sz val="11"/>
        <rFont val="Times New Roman"/>
        <family val="1"/>
      </rPr>
      <t xml:space="preserve"> 10</t>
    </r>
  </si>
  <si>
    <r>
      <t>Post-Retirement</t>
    </r>
    <r>
      <rPr>
        <vertAlign val="superscript"/>
        <sz val="11"/>
        <rFont val="Times New Roman"/>
        <family val="1"/>
      </rPr>
      <t xml:space="preserve"> 10</t>
    </r>
  </si>
  <si>
    <r>
      <t xml:space="preserve">Other </t>
    </r>
    <r>
      <rPr>
        <vertAlign val="superscript"/>
        <sz val="11"/>
        <rFont val="Times New Roman"/>
        <family val="1"/>
      </rPr>
      <t>10, 11</t>
    </r>
  </si>
  <si>
    <r>
      <t xml:space="preserve">Allowed time </t>
    </r>
    <r>
      <rPr>
        <vertAlign val="superscript"/>
        <sz val="11"/>
        <rFont val="Times New Roman"/>
        <family val="1"/>
      </rPr>
      <t>10</t>
    </r>
  </si>
  <si>
    <r>
      <t>401K</t>
    </r>
    <r>
      <rPr>
        <vertAlign val="superscript"/>
        <sz val="11"/>
        <rFont val="Times New Roman"/>
        <family val="1"/>
      </rPr>
      <t xml:space="preserve"> 10</t>
    </r>
  </si>
  <si>
    <t xml:space="preserve">10. 2025 and 2026 Forecast expenses from MDR_22 B.04 Attachment 1. </t>
  </si>
  <si>
    <t>11. Portion of Other labor expense subject to UAE's FTE adj. based on the proportion of 2025 Budget Other labor cost related to Life Insurance &amp; Disability benefits from MDR_22 B.04 Attach. 1:</t>
  </si>
  <si>
    <r>
      <t>Affiliated Labor &amp; Benefits</t>
    </r>
    <r>
      <rPr>
        <vertAlign val="superscript"/>
        <sz val="11"/>
        <rFont val="Times New Roman"/>
        <family val="1"/>
      </rPr>
      <t xml:space="preserve"> 8</t>
    </r>
  </si>
  <si>
    <t xml:space="preserve">12. UAE Exhibit RR 1.1, p. 2. </t>
  </si>
  <si>
    <r>
      <t xml:space="preserve">2026 Payroll Tax per UAE Exhibit RR 1.1 </t>
    </r>
    <r>
      <rPr>
        <vertAlign val="superscript"/>
        <sz val="11"/>
        <rFont val="Times New Roman"/>
        <family val="1"/>
      </rPr>
      <t>12</t>
    </r>
  </si>
  <si>
    <r>
      <t xml:space="preserve">UAE RR 1.2 Payroll Tax Adj. </t>
    </r>
    <r>
      <rPr>
        <vertAlign val="superscript"/>
        <sz val="11"/>
        <rFont val="Times New Roman"/>
        <family val="1"/>
      </rPr>
      <t>2</t>
    </r>
  </si>
  <si>
    <r>
      <t xml:space="preserve">Adj. Payroll Tax Prior to FTE Adj. </t>
    </r>
    <r>
      <rPr>
        <vertAlign val="superscript"/>
        <sz val="11"/>
        <rFont val="Times New Roman"/>
        <family val="1"/>
      </rPr>
      <t>13</t>
    </r>
  </si>
  <si>
    <r>
      <t>Estimated Payroll Tax FTE Adj.</t>
    </r>
    <r>
      <rPr>
        <vertAlign val="superscript"/>
        <sz val="11"/>
        <rFont val="Times New Roman"/>
        <family val="1"/>
      </rPr>
      <t xml:space="preserve"> 15</t>
    </r>
  </si>
  <si>
    <t xml:space="preserve">13. Line 17 + Line 18. </t>
  </si>
  <si>
    <t xml:space="preserve">15. Line 19 ×  Line 20.  </t>
  </si>
  <si>
    <r>
      <t>Wages - Overtime</t>
    </r>
    <r>
      <rPr>
        <vertAlign val="superscript"/>
        <sz val="11"/>
        <rFont val="Times New Roman"/>
        <family val="1"/>
      </rPr>
      <t xml:space="preserve"> 6</t>
    </r>
  </si>
  <si>
    <r>
      <t xml:space="preserve"> 2026 Forecast
 Labor Expenses 
After UAE Financial Incentive Comp. Adj. </t>
    </r>
    <r>
      <rPr>
        <vertAlign val="superscript"/>
        <sz val="11"/>
        <rFont val="Times New Roman"/>
        <family val="1"/>
      </rPr>
      <t>3</t>
    </r>
  </si>
  <si>
    <r>
      <t>Adjusted 2026
 Labor Expense 
Included in 
UAE FTE Adj.</t>
    </r>
    <r>
      <rPr>
        <vertAlign val="superscript"/>
        <sz val="11"/>
        <rFont val="Times New Roman"/>
        <family val="1"/>
      </rPr>
      <t xml:space="preserve"> 4</t>
    </r>
  </si>
  <si>
    <r>
      <t>UAE FTE 
Employee Count Adjustment</t>
    </r>
    <r>
      <rPr>
        <vertAlign val="superscript"/>
        <sz val="11"/>
        <rFont val="Times New Roman"/>
        <family val="1"/>
      </rPr>
      <t xml:space="preserve"> 5</t>
    </r>
  </si>
  <si>
    <t>(a)</t>
  </si>
  <si>
    <t>Actual vs. Budget FTE Summary</t>
  </si>
  <si>
    <r>
      <t xml:space="preserve">Act. Avg. Jun-24 - May-25 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2"/>
      </rPr>
      <t>:</t>
    </r>
  </si>
  <si>
    <r>
      <t>FTE Adjustment</t>
    </r>
    <r>
      <rPr>
        <vertAlign val="superscript"/>
        <sz val="11"/>
        <rFont val="Times New Roman"/>
        <family val="1"/>
      </rPr>
      <t xml:space="preserve"> 1</t>
    </r>
    <r>
      <rPr>
        <sz val="11"/>
        <rFont val="Times New Roman"/>
        <family val="1"/>
      </rPr>
      <t>:</t>
    </r>
  </si>
  <si>
    <r>
      <t>FTE Adj. Reduction to Total QGC Adj. Labor Cost</t>
    </r>
    <r>
      <rPr>
        <vertAlign val="superscript"/>
        <sz val="11"/>
        <rFont val="Times New Roman"/>
        <family val="1"/>
      </rPr>
      <t xml:space="preserve"> 14</t>
    </r>
  </si>
  <si>
    <t>UAE Financial Incentive Compensation Expense Adjustment</t>
  </si>
  <si>
    <t xml:space="preserve"> System Total </t>
  </si>
  <si>
    <t xml:space="preserve">System Total </t>
  </si>
  <si>
    <t xml:space="preserve">2. Jan. - Dec. 2024 Actuals from MDR_22 D.23 Attachment 1.  </t>
  </si>
  <si>
    <t xml:space="preserve">4. Average of Jan. - Dec. 2025 forecast. See also MDR_22 B.04 Attachment 1, Summary tab. </t>
  </si>
  <si>
    <t>14. Column (g), Line 15 ÷ ((Column (e), Line 15 - Column (e), Line 14)).</t>
  </si>
  <si>
    <t>UAE Employee Count Adjustment Detail</t>
  </si>
  <si>
    <t>UAE Employee Count Adjustment</t>
  </si>
  <si>
    <t>UAE 
Employee Count Adjustment</t>
  </si>
  <si>
    <t xml:space="preserve">UAE Recommended System Total </t>
  </si>
  <si>
    <t xml:space="preserve">UAE Adjust. System Total </t>
  </si>
  <si>
    <t xml:space="preserve">1. See UAE Exhibit RR 1.4, pages 3-5. </t>
  </si>
  <si>
    <t xml:space="preserve">2. UAE's adjustment is made to Account 390 - General as a proxy for an adjustment to Enbridge's plant in service generally. </t>
  </si>
  <si>
    <t>Derivation of UAE Capitalized Financial Incentive Compensation Adjustment - 2023 Capital Additions</t>
  </si>
  <si>
    <r>
      <t xml:space="preserve">MACRS - 20-Year </t>
    </r>
    <r>
      <rPr>
        <vertAlign val="superscript"/>
        <sz val="11"/>
        <color theme="1"/>
        <rFont val="Times New Roman"/>
        <family val="1"/>
      </rPr>
      <t>2</t>
    </r>
  </si>
  <si>
    <r>
      <t>2026 Avg. Prop. Dep. Rate</t>
    </r>
    <r>
      <rPr>
        <vertAlign val="superscript"/>
        <sz val="11"/>
        <color theme="1"/>
        <rFont val="Times New Roman"/>
        <family val="1"/>
      </rPr>
      <t xml:space="preserve"> 1</t>
    </r>
  </si>
  <si>
    <t>Year 4</t>
  </si>
  <si>
    <r>
      <t>Monthly Additions</t>
    </r>
    <r>
      <rPr>
        <b/>
        <vertAlign val="superscript"/>
        <sz val="11"/>
        <color theme="1"/>
        <rFont val="Times New Roman"/>
        <family val="1"/>
      </rPr>
      <t xml:space="preserve"> 1</t>
    </r>
  </si>
  <si>
    <t>2024 Total</t>
  </si>
  <si>
    <t>2025 Total</t>
  </si>
  <si>
    <t>2026 Total</t>
  </si>
  <si>
    <t xml:space="preserve">1. From Enbridge response to UAE 3.04, UAE 3.04 Attachment 2. </t>
  </si>
  <si>
    <t xml:space="preserve">3. Tax rates from 25-057-06 EGU Exhibit 5.14U - Electronic Model - Summers 5-14-2025, Taxes tab. </t>
  </si>
  <si>
    <t>Derivation of UAE Capitalized Financial Incentive Compensation Adjustment - 2024 Capital Additions</t>
  </si>
  <si>
    <r>
      <t xml:space="preserve">2024-2025 Avg. Dep Rate </t>
    </r>
    <r>
      <rPr>
        <vertAlign val="superscript"/>
        <sz val="11"/>
        <color theme="1"/>
        <rFont val="Times New Roman"/>
        <family val="1"/>
      </rPr>
      <t>1</t>
    </r>
  </si>
  <si>
    <t>2024 Additions</t>
  </si>
  <si>
    <t>Derivation of UAE Capitalized Financial Incentive Compensation Adjustment - 2025-26 Capital Additions</t>
  </si>
  <si>
    <r>
      <t xml:space="preserve">2025 Avg. Dep Rate </t>
    </r>
    <r>
      <rPr>
        <vertAlign val="superscript"/>
        <sz val="11"/>
        <color theme="1"/>
        <rFont val="Times New Roman"/>
        <family val="1"/>
      </rPr>
      <t>1</t>
    </r>
  </si>
  <si>
    <t>2025 Additions</t>
  </si>
  <si>
    <t>2026 Additions</t>
  </si>
  <si>
    <t xml:space="preserve">2026 ADIT Proration </t>
  </si>
  <si>
    <t>UAE Adj. - 2023 Additions</t>
  </si>
  <si>
    <t>UAE Adj. - 2024 Additions</t>
  </si>
  <si>
    <t>UAE Adj. - 2025 Additions</t>
  </si>
  <si>
    <t>UAE Adj. - 2026 Additions</t>
  </si>
  <si>
    <t>2026 ADIT Proration</t>
  </si>
  <si>
    <t>Line</t>
  </si>
  <si>
    <t xml:space="preserve">2. Based on 20-year MACRS general depreciation system applicable to Gas Utility Distribution Facilities (Half-Year Convention). </t>
  </si>
  <si>
    <t>UAE Recommended</t>
  </si>
  <si>
    <t>Enbridge Proposed</t>
  </si>
  <si>
    <r>
      <t xml:space="preserve">UAE Adjustment </t>
    </r>
    <r>
      <rPr>
        <vertAlign val="superscript"/>
        <sz val="11"/>
        <color theme="1"/>
        <rFont val="Times New Roman"/>
        <family val="1"/>
      </rPr>
      <t>1</t>
    </r>
  </si>
  <si>
    <t xml:space="preserve">UAE Capitalized Financial Incentive Compensation Adjustment </t>
  </si>
  <si>
    <t>ADIT - 
Fed</t>
  </si>
  <si>
    <t xml:space="preserve">Federal Income Tax Rate </t>
  </si>
  <si>
    <t>Avg. State Income Tax Rate</t>
  </si>
  <si>
    <t>Combined Federal &amp; State Income Tax Rate</t>
  </si>
  <si>
    <t>Enbridge Lead-Lag Factor</t>
  </si>
  <si>
    <r>
      <t xml:space="preserve">Lead-Lag </t>
    </r>
    <r>
      <rPr>
        <sz val="11"/>
        <color theme="1"/>
        <rFont val="Times New Roman"/>
        <family val="1"/>
      </rPr>
      <t>÷ 365</t>
    </r>
  </si>
  <si>
    <t>Enbridge Bad Debt Ratio</t>
  </si>
  <si>
    <t>Prior to UAE Cost of Capital Adjustment</t>
  </si>
  <si>
    <t>Including UAE Cost of Capital Adjustment</t>
  </si>
  <si>
    <t>UAE Cost of Capital Adjustment</t>
  </si>
  <si>
    <r>
      <t>UAE Rate Base Adjustments</t>
    </r>
    <r>
      <rPr>
        <vertAlign val="superscript"/>
        <sz val="11"/>
        <color theme="1"/>
        <rFont val="Times New Roman"/>
        <family val="1"/>
      </rPr>
      <t xml:space="preserve"> 2</t>
    </r>
  </si>
  <si>
    <r>
      <t xml:space="preserve">Rate Base w/UAE Adjustments </t>
    </r>
    <r>
      <rPr>
        <vertAlign val="superscript"/>
        <sz val="11"/>
        <color theme="1"/>
        <rFont val="Times New Roman"/>
        <family val="1"/>
      </rPr>
      <t>3</t>
    </r>
  </si>
  <si>
    <t xml:space="preserve">3. Line 2 + Line 3. </t>
  </si>
  <si>
    <r>
      <t>Proposed Return on Rate Base</t>
    </r>
    <r>
      <rPr>
        <vertAlign val="superscript"/>
        <sz val="11"/>
        <color theme="1"/>
        <rFont val="Times New Roman"/>
        <family val="1"/>
      </rPr>
      <t xml:space="preserve"> 4</t>
    </r>
  </si>
  <si>
    <t xml:space="preserve">4. See Line 19 (column b) and Line 24 (column c). </t>
  </si>
  <si>
    <r>
      <t xml:space="preserve">Current Net Operating Income w/UAE Adj. </t>
    </r>
    <r>
      <rPr>
        <vertAlign val="superscript"/>
        <sz val="11"/>
        <color theme="1"/>
        <rFont val="Times New Roman"/>
        <family val="1"/>
      </rPr>
      <t>5</t>
    </r>
  </si>
  <si>
    <t xml:space="preserve">5. From 25-027-06 - UAE Direct RR Model, Report tab. </t>
  </si>
  <si>
    <r>
      <t>Required Operating Income</t>
    </r>
    <r>
      <rPr>
        <vertAlign val="superscript"/>
        <sz val="11"/>
        <color theme="1"/>
        <rFont val="Times New Roman"/>
        <family val="1"/>
      </rPr>
      <t xml:space="preserve"> 6</t>
    </r>
  </si>
  <si>
    <t xml:space="preserve">6. Line 4  × Line 5. </t>
  </si>
  <si>
    <t>7. Line 7 - Line 6.</t>
  </si>
  <si>
    <r>
      <t xml:space="preserve">Required Net Operating Income Deficiency </t>
    </r>
    <r>
      <rPr>
        <vertAlign val="superscript"/>
        <sz val="11"/>
        <color theme="1"/>
        <rFont val="Times New Roman"/>
        <family val="1"/>
      </rPr>
      <t>7</t>
    </r>
  </si>
  <si>
    <r>
      <t>Income-to-Revenue Multiplier</t>
    </r>
    <r>
      <rPr>
        <vertAlign val="superscript"/>
        <sz val="11"/>
        <color theme="1"/>
        <rFont val="Times New Roman"/>
        <family val="1"/>
      </rPr>
      <t xml:space="preserve"> 8</t>
    </r>
  </si>
  <si>
    <r>
      <t xml:space="preserve">Revenue Deficiency </t>
    </r>
    <r>
      <rPr>
        <vertAlign val="superscript"/>
        <sz val="11"/>
        <color theme="1"/>
        <rFont val="Times New Roman"/>
        <family val="1"/>
      </rPr>
      <t>9</t>
    </r>
  </si>
  <si>
    <r>
      <t xml:space="preserve">Multiplier for Income Tax </t>
    </r>
    <r>
      <rPr>
        <vertAlign val="superscript"/>
        <sz val="11"/>
        <color theme="1"/>
        <rFont val="Times New Roman"/>
        <family val="1"/>
      </rPr>
      <t>10</t>
    </r>
  </si>
  <si>
    <r>
      <t xml:space="preserve">Multiplier for Uncollectible Expense </t>
    </r>
    <r>
      <rPr>
        <vertAlign val="superscript"/>
        <sz val="11"/>
        <color theme="1"/>
        <rFont val="Times New Roman"/>
        <family val="1"/>
      </rPr>
      <t>10</t>
    </r>
  </si>
  <si>
    <r>
      <t xml:space="preserve">Income-to-Revenue Multiplier </t>
    </r>
    <r>
      <rPr>
        <vertAlign val="superscript"/>
        <sz val="11"/>
        <color theme="1"/>
        <rFont val="Times New Roman"/>
        <family val="1"/>
      </rPr>
      <t>10</t>
    </r>
  </si>
  <si>
    <r>
      <t xml:space="preserve">Revenue Requirement Impact of UAE Cost of Capital Adjustment: </t>
    </r>
    <r>
      <rPr>
        <vertAlign val="superscript"/>
        <sz val="11"/>
        <color theme="1"/>
        <rFont val="Times New Roman"/>
        <family val="1"/>
      </rPr>
      <t>11</t>
    </r>
  </si>
  <si>
    <t>11. Line 10 (column c) - Line 10 (column b).</t>
  </si>
  <si>
    <r>
      <t xml:space="preserve">Enbridge Proposed Cost of Capital </t>
    </r>
    <r>
      <rPr>
        <vertAlign val="superscript"/>
        <sz val="11"/>
        <color theme="1"/>
        <rFont val="Times New Roman"/>
        <family val="1"/>
      </rPr>
      <t>12</t>
    </r>
  </si>
  <si>
    <t xml:space="preserve">12. 25-057-06 EGU Exhibit 5.14U - Electronic Model - Summers 5-14-2025, Cap Str tab. </t>
  </si>
  <si>
    <r>
      <t xml:space="preserve">UAE Recommended Cost of Capital </t>
    </r>
    <r>
      <rPr>
        <vertAlign val="superscript"/>
        <sz val="11"/>
        <color theme="1"/>
        <rFont val="Times New Roman"/>
        <family val="1"/>
      </rPr>
      <t>13</t>
    </r>
  </si>
  <si>
    <t xml:space="preserve">13. Recommended in the Direct Testimony of David J. Garrett. </t>
  </si>
  <si>
    <r>
      <t>Inputs for Income-to-Revenue Multiplier Calculations</t>
    </r>
    <r>
      <rPr>
        <vertAlign val="superscript"/>
        <sz val="11"/>
        <color theme="1"/>
        <rFont val="Times New Roman"/>
        <family val="1"/>
      </rPr>
      <t xml:space="preserve"> 14</t>
    </r>
  </si>
  <si>
    <t xml:space="preserve">14. 25-057-06 EGU Exhibit 5.14U - Electronic Model - Summers 5-14-2025, Taxes tab. </t>
  </si>
  <si>
    <t>8. From Line 13.</t>
  </si>
  <si>
    <t xml:space="preserve">      25-057-06 EGU Exhibit 5.14U - Electronic Model - Summers 5-14-2025, ROR-Model tab, rows 1392-1395.</t>
  </si>
  <si>
    <t xml:space="preserve">   and UAE Exhibits RR 1.1-1.5 (column c). </t>
  </si>
  <si>
    <t xml:space="preserve">9. Line 8  × Line 9. </t>
  </si>
  <si>
    <t xml:space="preserve">10. UAE is utilizing the same Income-to-Revenue multiplier calculation approach as Enbridge, based on </t>
  </si>
  <si>
    <t>UT Jurisdiction DNG Related</t>
  </si>
  <si>
    <t xml:space="preserve">2023-2025 </t>
  </si>
  <si>
    <t>2026 Proposed</t>
  </si>
  <si>
    <r>
      <t xml:space="preserve">Average Book Depr. Rates </t>
    </r>
    <r>
      <rPr>
        <vertAlign val="superscript"/>
        <sz val="11"/>
        <color theme="1"/>
        <rFont val="Times New Roman"/>
        <family val="1"/>
      </rPr>
      <t>1</t>
    </r>
  </si>
  <si>
    <t xml:space="preserve">    2026 amount from EGU Exhibit 4.06.</t>
  </si>
  <si>
    <t>3. Designed to reflect the annual average Actual FTE employee count. Utilizes 12 months beginning in Jun. 2024,</t>
  </si>
  <si>
    <t>Labor Expense Escalation Factor Correction Detail</t>
  </si>
  <si>
    <t>No.</t>
  </si>
  <si>
    <t>Labor/Labor Overhead Expenses</t>
  </si>
  <si>
    <r>
      <t xml:space="preserve">EGU Exhibit 4.06 </t>
    </r>
    <r>
      <rPr>
        <vertAlign val="superscript"/>
        <sz val="11"/>
        <color theme="1"/>
        <rFont val="Times New Roman"/>
        <family val="1"/>
      </rPr>
      <t>1</t>
    </r>
  </si>
  <si>
    <r>
      <t xml:space="preserve">Miscategorized Affiliate Cost </t>
    </r>
    <r>
      <rPr>
        <vertAlign val="superscript"/>
        <sz val="11"/>
        <color theme="1"/>
        <rFont val="Times New Roman"/>
        <family val="1"/>
      </rPr>
      <t>2</t>
    </r>
  </si>
  <si>
    <r>
      <t>After Correction</t>
    </r>
    <r>
      <rPr>
        <vertAlign val="superscript"/>
        <sz val="11"/>
        <color theme="1"/>
        <rFont val="Times New Roman"/>
        <family val="1"/>
      </rPr>
      <t xml:space="preserve"> 3</t>
    </r>
  </si>
  <si>
    <r>
      <t xml:space="preserve">Pension Expense </t>
    </r>
    <r>
      <rPr>
        <vertAlign val="superscript"/>
        <sz val="11"/>
        <color theme="1"/>
        <rFont val="Times New Roman"/>
        <family val="1"/>
      </rPr>
      <t>2</t>
    </r>
  </si>
  <si>
    <t>1. See EGU Exhibit 4.06, Excel Column F, Row 13.</t>
  </si>
  <si>
    <t>2. Enbridge response to Data Request UAE 4.05.</t>
  </si>
  <si>
    <r>
      <t>Enbridge 2025 Budget</t>
    </r>
    <r>
      <rPr>
        <vertAlign val="superscript"/>
        <sz val="11"/>
        <color theme="1"/>
        <rFont val="Times New Roman"/>
        <family val="1"/>
      </rPr>
      <t xml:space="preserve"> 4</t>
    </r>
  </si>
  <si>
    <t>3. Line 2 + Line 3.</t>
  </si>
  <si>
    <t>4. See EGU Exhibit 4.06, Excel Column G, Row 13.</t>
  </si>
  <si>
    <r>
      <t xml:space="preserve">Year-over-Year % Change </t>
    </r>
    <r>
      <rPr>
        <vertAlign val="superscript"/>
        <sz val="11"/>
        <color theme="1"/>
        <rFont val="Times New Roman"/>
        <family val="1"/>
      </rPr>
      <t>5</t>
    </r>
  </si>
  <si>
    <t>5. (Line 5 - Line 4) / Line 4</t>
  </si>
  <si>
    <r>
      <t>Corrected Labor Expenses Excl. Pension</t>
    </r>
    <r>
      <rPr>
        <vertAlign val="superscript"/>
        <sz val="11"/>
        <color theme="1"/>
        <rFont val="Times New Roman"/>
        <family val="1"/>
      </rPr>
      <t xml:space="preserve"> 6</t>
    </r>
  </si>
  <si>
    <t xml:space="preserve">6. Line 4. </t>
  </si>
  <si>
    <r>
      <t>EGU Exhibit 4.05 Labor Expenses</t>
    </r>
    <r>
      <rPr>
        <vertAlign val="superscript"/>
        <sz val="11"/>
        <color theme="1"/>
        <rFont val="Times New Roman"/>
        <family val="1"/>
      </rPr>
      <t xml:space="preserve"> 7</t>
    </r>
  </si>
  <si>
    <t>UAE 
Expense Correction</t>
  </si>
  <si>
    <t xml:space="preserve">2. UAE Utah jurisdictional rate base adjustments from UAE Exhibits RR 1.1-1.4 (column b) </t>
  </si>
  <si>
    <t>UAE 
Cap. Incentive 
Comp. Adjustment</t>
  </si>
  <si>
    <t>UAE 
Cost of Capital Adjustment</t>
  </si>
  <si>
    <t xml:space="preserve">3. Enbridge proposed. 25-057-06 EGU Exhibit 5.14U - Electronic Model - Summers 5-14-2025, Capital Str tab. </t>
  </si>
  <si>
    <t xml:space="preserve">    See Enbridge response to Data Request UAE 4.05. The Labor Forecast tab calculates the 2025 and 2026 year-over-year % changes that are applied </t>
  </si>
  <si>
    <t xml:space="preserve">7. Line 7 + Line 8. EGU Exhibit 4.05, Excel Column D, row 47. </t>
  </si>
  <si>
    <t xml:space="preserve">    after DES employees were transferred into QGC, per Enbridge response to Data Request UAE 4.01. </t>
  </si>
  <si>
    <t xml:space="preserve">    Jan. - May 2025 from Enbridge response to Data Request UAE 4.02. </t>
  </si>
  <si>
    <t xml:space="preserve">Data Sources/Notes: </t>
  </si>
  <si>
    <t xml:space="preserve">4. Labor expense categories that are expected to be affected by Questar Gas Company employee count. </t>
  </si>
  <si>
    <t>7. 2025 Forecast amount from MDR_22 B.04 Attach. 1. 2025 wage expense from MDR_22 B.04 Attach. 1, 2025 Budget, is $700,000 less than presented in EGU Exhibit 4.06. See Enbridge response to Data Request UAE 5.01.</t>
  </si>
  <si>
    <t>Revenue Requirement Impact</t>
  </si>
  <si>
    <t>Income Tax Impacts of Interest Expense &amp; CWC Components</t>
  </si>
  <si>
    <t xml:space="preserve">2.  25-057-06 EGU Exhibit 5.14U - Electronic Model - Summers 5-14-2025, Incentive tab. </t>
  </si>
  <si>
    <t xml:space="preserve">     UAE's approach produces a more conservative adjustment than applying the overall labor escalators, as Enbridge did in response to Data Request UAE 3.02, </t>
  </si>
  <si>
    <t xml:space="preserve">     UAE 3.02 Attachment 1 and 25-057-06 EGU Exhibit 5.14U - Electronic Model - Summers 5-14-2025, Incentive tab. </t>
  </si>
  <si>
    <t xml:space="preserve">1.  UAE utilized Enbridge's projected annual increases in Incentive Accrual Expense from EGU Exhibit 4.06 to derive the 2025 and 2026 amounts. </t>
  </si>
  <si>
    <t>UAE Labor O&amp;M and Payroll Tax Expenses Error Corrections</t>
  </si>
  <si>
    <r>
      <t xml:space="preserve">Enbridge Proposed UT Jurisdictional Rate Base </t>
    </r>
    <r>
      <rPr>
        <vertAlign val="superscript"/>
        <sz val="11"/>
        <color theme="1"/>
        <rFont val="Times New Roman"/>
        <family val="1"/>
      </rPr>
      <t>1</t>
    </r>
  </si>
  <si>
    <t xml:space="preserve">1. Enbridge response to Data Request DPU FDR 1.18, DPU FDR 1.18 Attachment, Report tab. </t>
  </si>
  <si>
    <t>Not Available</t>
  </si>
  <si>
    <t xml:space="preserve">UAE Labor O&amp;M and Payroll Tax Expenses Error Corrections - </t>
  </si>
  <si>
    <r>
      <t xml:space="preserve">UAE Labor O&amp;M and Payroll Tax Expenses Error Corrections </t>
    </r>
    <r>
      <rPr>
        <b/>
        <vertAlign val="superscript"/>
        <sz val="12"/>
        <color theme="1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</si>
</sst>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0.0000"/>
    <numFmt numFmtId="165" formatCode="0.000%"/>
    <numFmt numFmtId="166" formatCode="_(* #,##0_);_(* \(#,##0\);_(* &quot;-&quot;??_);_(@_)"/>
    <numFmt numFmtId="167" formatCode="[$-409]mmm\-yy;@"/>
    <numFmt numFmtId="168" formatCode="0.0%"/>
    <numFmt numFmtId="169" formatCode="_(* #,##0.0_);_(* \(#,##0.0\);_(* &quot;-&quot;??_);_(@_)"/>
    <numFmt numFmtId="170" formatCode="_(* #,##0.000000_);_(* \(#,##0.000000\);_(* &quot;-&quot;??????_);_(@_)"/>
    <numFmt numFmtId="171" formatCode="0.00000%"/>
    <numFmt numFmtId="172" formatCode="&quot;$&quot;#,##0"/>
    <numFmt numFmtId="173" formatCode="&quot;$&quot;#,##0.00"/>
    <numFmt numFmtId="174" formatCode="_(* #,##0.00000_);_(* \(#,##0.00000\);_(* &quot;-&quot;??_);_(@_)"/>
    <numFmt numFmtId="175" formatCode="&quot;$&quot;#,##0.000000000_);\(&quot;$&quot;#,##0.000000000\)"/>
    <numFmt numFmtId="176" formatCode="0.000000%"/>
    <numFmt numFmtId="177" formatCode="0.000"/>
    <numFmt numFmtId="178" formatCode="0.00000"/>
    <numFmt numFmtId="179" formatCode="0.000000"/>
    <numFmt numFmtId="180" formatCode="&quot;$&quot;#,##0.00000"/>
    <numFmt numFmtId="181" formatCode="&quot;$&quot;#,##0.00000000"/>
    <numFmt numFmtId="182" formatCode="0.00000000000000000%"/>
    <numFmt numFmtId="183" formatCode="0.0000000000000000%"/>
    <numFmt numFmtId="184" formatCode="&quot;$&quot;#,##0.00000000000_);\(&quot;$&quot;#,##0.00000000000\)"/>
  </numFmts>
  <fonts count="17" x14ac:knownFonts="1">
    <font>
      <sz val="11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 Narrow"/>
      <family val="2"/>
    </font>
    <font>
      <sz val="11"/>
      <name val="Times New Roman"/>
      <family val="1"/>
    </font>
    <font>
      <vertAlign val="superscript"/>
      <sz val="11"/>
      <name val="Times New Roman"/>
      <family val="1"/>
    </font>
    <font>
      <u/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43" fontId="5" fillId="0" borderId="0" applyFont="0" applyFill="0" applyBorder="0" applyAlignment="0" applyProtection="0"/>
  </cellStyleXfs>
  <cellXfs count="29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5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 indent="1"/>
    </xf>
    <xf numFmtId="5" fontId="0" fillId="2" borderId="0" xfId="1" applyNumberFormat="1" applyFont="1" applyFill="1"/>
    <xf numFmtId="5" fontId="0" fillId="2" borderId="1" xfId="1" applyNumberFormat="1" applyFont="1" applyFill="1" applyBorder="1"/>
    <xf numFmtId="5" fontId="0" fillId="2" borderId="2" xfId="1" applyNumberFormat="1" applyFont="1" applyFill="1" applyBorder="1"/>
    <xf numFmtId="5" fontId="0" fillId="2" borderId="0" xfId="0" applyNumberFormat="1" applyFill="1"/>
    <xf numFmtId="164" fontId="0" fillId="2" borderId="0" xfId="0" applyNumberFormat="1" applyFill="1"/>
    <xf numFmtId="165" fontId="0" fillId="2" borderId="0" xfId="2" applyNumberFormat="1" applyFont="1" applyFill="1"/>
    <xf numFmtId="5" fontId="0" fillId="2" borderId="3" xfId="1" applyNumberFormat="1" applyFont="1" applyFill="1" applyBorder="1"/>
    <xf numFmtId="0" fontId="0" fillId="2" borderId="1" xfId="0" applyFill="1" applyBorder="1"/>
    <xf numFmtId="0" fontId="3" fillId="2" borderId="0" xfId="0" applyFont="1" applyFill="1"/>
    <xf numFmtId="7" fontId="0" fillId="0" borderId="0" xfId="0" applyNumberFormat="1"/>
    <xf numFmtId="0" fontId="6" fillId="0" borderId="0" xfId="3" applyFont="1"/>
    <xf numFmtId="165" fontId="6" fillId="0" borderId="0" xfId="5" applyNumberFormat="1" applyFont="1"/>
    <xf numFmtId="167" fontId="0" fillId="0" borderId="0" xfId="0" applyNumberFormat="1"/>
    <xf numFmtId="2" fontId="0" fillId="0" borderId="0" xfId="0" applyNumberFormat="1"/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6" xfId="0" applyFill="1" applyBorder="1"/>
    <xf numFmtId="0" fontId="0" fillId="2" borderId="6" xfId="0" applyFill="1" applyBorder="1" applyAlignment="1">
      <alignment horizontal="left"/>
    </xf>
    <xf numFmtId="10" fontId="0" fillId="2" borderId="7" xfId="2" applyNumberFormat="1" applyFont="1" applyFill="1" applyBorder="1"/>
    <xf numFmtId="0" fontId="0" fillId="2" borderId="8" xfId="0" applyFill="1" applyBorder="1" applyAlignment="1">
      <alignment horizontal="left"/>
    </xf>
    <xf numFmtId="10" fontId="0" fillId="2" borderId="9" xfId="2" applyNumberFormat="1" applyFont="1" applyFill="1" applyBorder="1"/>
    <xf numFmtId="10" fontId="0" fillId="2" borderId="9" xfId="0" applyNumberFormat="1" applyFill="1" applyBorder="1"/>
    <xf numFmtId="0" fontId="0" fillId="2" borderId="9" xfId="0" applyFill="1" applyBorder="1"/>
    <xf numFmtId="165" fontId="0" fillId="2" borderId="12" xfId="0" applyNumberFormat="1" applyFill="1" applyBorder="1"/>
    <xf numFmtId="166" fontId="0" fillId="2" borderId="0" xfId="1" applyNumberFormat="1" applyFont="1" applyFill="1"/>
    <xf numFmtId="5" fontId="0" fillId="2" borderId="0" xfId="1" applyNumberFormat="1" applyFont="1" applyFill="1" applyBorder="1"/>
    <xf numFmtId="166" fontId="0" fillId="2" borderId="0" xfId="0" applyNumberFormat="1" applyFill="1"/>
    <xf numFmtId="16" fontId="0" fillId="0" borderId="0" xfId="0" applyNumberFormat="1"/>
    <xf numFmtId="7" fontId="0" fillId="2" borderId="0" xfId="0" applyNumberFormat="1" applyFill="1"/>
    <xf numFmtId="10" fontId="0" fillId="2" borderId="0" xfId="2" applyNumberFormat="1" applyFont="1" applyFill="1" applyBorder="1"/>
    <xf numFmtId="169" fontId="0" fillId="2" borderId="0" xfId="1" applyNumberFormat="1" applyFont="1" applyFill="1"/>
    <xf numFmtId="10" fontId="0" fillId="2" borderId="0" xfId="2" applyNumberFormat="1" applyFont="1" applyFill="1"/>
    <xf numFmtId="170" fontId="0" fillId="2" borderId="0" xfId="0" applyNumberFormat="1" applyFill="1"/>
    <xf numFmtId="43" fontId="0" fillId="2" borderId="0" xfId="0" applyNumberFormat="1" applyFill="1"/>
    <xf numFmtId="37" fontId="0" fillId="2" borderId="0" xfId="1" applyNumberFormat="1" applyFont="1" applyFill="1" applyBorder="1"/>
    <xf numFmtId="37" fontId="0" fillId="2" borderId="0" xfId="0" applyNumberFormat="1" applyFill="1"/>
    <xf numFmtId="37" fontId="0" fillId="0" borderId="0" xfId="0" applyNumberFormat="1"/>
    <xf numFmtId="165" fontId="0" fillId="2" borderId="13" xfId="2" applyNumberFormat="1" applyFont="1" applyFill="1" applyBorder="1"/>
    <xf numFmtId="0" fontId="0" fillId="2" borderId="8" xfId="0" applyFill="1" applyBorder="1"/>
    <xf numFmtId="165" fontId="0" fillId="2" borderId="12" xfId="2" applyNumberFormat="1" applyFont="1" applyFill="1" applyBorder="1"/>
    <xf numFmtId="0" fontId="0" fillId="2" borderId="10" xfId="0" applyFill="1" applyBorder="1"/>
    <xf numFmtId="0" fontId="0" fillId="2" borderId="11" xfId="0" applyFill="1" applyBorder="1"/>
    <xf numFmtId="10" fontId="0" fillId="2" borderId="13" xfId="2" applyNumberFormat="1" applyFont="1" applyFill="1" applyBorder="1"/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5" xfId="0" applyFill="1" applyBorder="1"/>
    <xf numFmtId="0" fontId="0" fillId="2" borderId="4" xfId="0" applyFill="1" applyBorder="1" applyAlignment="1">
      <alignment horizontal="center"/>
    </xf>
    <xf numFmtId="37" fontId="0" fillId="2" borderId="7" xfId="0" applyNumberFormat="1" applyFill="1" applyBorder="1"/>
    <xf numFmtId="37" fontId="0" fillId="2" borderId="9" xfId="0" applyNumberFormat="1" applyFill="1" applyBorder="1"/>
    <xf numFmtId="16" fontId="0" fillId="2" borderId="0" xfId="0" applyNumberFormat="1" applyFill="1"/>
    <xf numFmtId="37" fontId="0" fillId="2" borderId="7" xfId="1" applyNumberFormat="1" applyFont="1" applyFill="1" applyBorder="1"/>
    <xf numFmtId="37" fontId="0" fillId="2" borderId="9" xfId="1" applyNumberFormat="1" applyFont="1" applyFill="1" applyBorder="1"/>
    <xf numFmtId="37" fontId="0" fillId="2" borderId="7" xfId="0" applyNumberFormat="1" applyFill="1" applyBorder="1" applyAlignment="1">
      <alignment horizontal="center" wrapText="1"/>
    </xf>
    <xf numFmtId="0" fontId="0" fillId="2" borderId="7" xfId="0" applyFill="1" applyBorder="1"/>
    <xf numFmtId="37" fontId="0" fillId="2" borderId="13" xfId="0" applyNumberFormat="1" applyFill="1" applyBorder="1"/>
    <xf numFmtId="37" fontId="0" fillId="2" borderId="4" xfId="0" applyNumberFormat="1" applyFill="1" applyBorder="1"/>
    <xf numFmtId="17" fontId="0" fillId="2" borderId="16" xfId="0" applyNumberFormat="1" applyFill="1" applyBorder="1" applyAlignment="1">
      <alignment horizontal="left"/>
    </xf>
    <xf numFmtId="17" fontId="0" fillId="2" borderId="7" xfId="0" applyNumberFormat="1" applyFill="1" applyBorder="1" applyAlignment="1">
      <alignment horizontal="left"/>
    </xf>
    <xf numFmtId="17" fontId="0" fillId="2" borderId="9" xfId="0" applyNumberForma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0" xfId="0" applyAlignment="1">
      <alignment horizontal="left"/>
    </xf>
    <xf numFmtId="37" fontId="0" fillId="2" borderId="16" xfId="1" applyNumberFormat="1" applyFont="1" applyFill="1" applyBorder="1"/>
    <xf numFmtId="37" fontId="0" fillId="2" borderId="16" xfId="0" applyNumberFormat="1" applyFill="1" applyBorder="1"/>
    <xf numFmtId="166" fontId="0" fillId="2" borderId="7" xfId="1" applyNumberFormat="1" applyFont="1" applyFill="1" applyBorder="1"/>
    <xf numFmtId="17" fontId="0" fillId="2" borderId="4" xfId="0" applyNumberFormat="1" applyFill="1" applyBorder="1" applyAlignment="1">
      <alignment horizontal="left"/>
    </xf>
    <xf numFmtId="37" fontId="0" fillId="2" borderId="4" xfId="1" applyNumberFormat="1" applyFont="1" applyFill="1" applyBorder="1"/>
    <xf numFmtId="10" fontId="0" fillId="2" borderId="4" xfId="2" applyNumberFormat="1" applyFont="1" applyFill="1" applyBorder="1"/>
    <xf numFmtId="0" fontId="0" fillId="2" borderId="1" xfId="0" applyFill="1" applyBorder="1" applyAlignment="1">
      <alignment horizontal="left"/>
    </xf>
    <xf numFmtId="0" fontId="0" fillId="2" borderId="4" xfId="0" applyFill="1" applyBorder="1"/>
    <xf numFmtId="5" fontId="0" fillId="0" borderId="0" xfId="1" applyNumberFormat="1" applyFont="1" applyFill="1"/>
    <xf numFmtId="7" fontId="0" fillId="0" borderId="0" xfId="1" applyNumberFormat="1" applyFont="1" applyFill="1"/>
    <xf numFmtId="10" fontId="0" fillId="2" borderId="0" xfId="0" applyNumberFormat="1" applyFill="1"/>
    <xf numFmtId="167" fontId="0" fillId="2" borderId="0" xfId="0" applyNumberFormat="1" applyFill="1"/>
    <xf numFmtId="167" fontId="0" fillId="2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/>
    </xf>
    <xf numFmtId="167" fontId="0" fillId="2" borderId="7" xfId="0" applyNumberFormat="1" applyFill="1" applyBorder="1" applyAlignment="1">
      <alignment horizontal="left"/>
    </xf>
    <xf numFmtId="2" fontId="0" fillId="2" borderId="0" xfId="0" applyNumberFormat="1" applyFill="1"/>
    <xf numFmtId="167" fontId="0" fillId="2" borderId="9" xfId="0" applyNumberFormat="1" applyFill="1" applyBorder="1" applyAlignment="1">
      <alignment horizontal="left"/>
    </xf>
    <xf numFmtId="0" fontId="6" fillId="2" borderId="0" xfId="3" applyFont="1" applyFill="1"/>
    <xf numFmtId="0" fontId="6" fillId="2" borderId="4" xfId="3" applyFont="1" applyFill="1" applyBorder="1" applyAlignment="1">
      <alignment horizontal="center" wrapText="1"/>
    </xf>
    <xf numFmtId="0" fontId="6" fillId="2" borderId="7" xfId="3" applyFont="1" applyFill="1" applyBorder="1" applyAlignment="1">
      <alignment horizontal="center"/>
    </xf>
    <xf numFmtId="0" fontId="6" fillId="2" borderId="6" xfId="3" applyFont="1" applyFill="1" applyBorder="1"/>
    <xf numFmtId="0" fontId="6" fillId="2" borderId="9" xfId="3" applyFont="1" applyFill="1" applyBorder="1" applyAlignment="1">
      <alignment horizontal="center"/>
    </xf>
    <xf numFmtId="0" fontId="6" fillId="2" borderId="8" xfId="3" applyFont="1" applyFill="1" applyBorder="1"/>
    <xf numFmtId="166" fontId="6" fillId="2" borderId="0" xfId="3" applyNumberFormat="1" applyFont="1" applyFill="1"/>
    <xf numFmtId="0" fontId="6" fillId="2" borderId="1" xfId="3" applyFont="1" applyFill="1" applyBorder="1"/>
    <xf numFmtId="0" fontId="2" fillId="2" borderId="4" xfId="0" applyFont="1" applyFill="1" applyBorder="1" applyAlignment="1">
      <alignment horizontal="center" wrapText="1"/>
    </xf>
    <xf numFmtId="9" fontId="4" fillId="2" borderId="4" xfId="0" applyNumberFormat="1" applyFont="1" applyFill="1" applyBorder="1" applyAlignment="1">
      <alignment horizontal="center"/>
    </xf>
    <xf numFmtId="165" fontId="4" fillId="2" borderId="4" xfId="2" applyNumberFormat="1" applyFont="1" applyFill="1" applyBorder="1" applyAlignment="1">
      <alignment horizontal="center"/>
    </xf>
    <xf numFmtId="166" fontId="4" fillId="2" borderId="7" xfId="1" applyNumberFormat="1" applyFont="1" applyFill="1" applyBorder="1"/>
    <xf numFmtId="166" fontId="0" fillId="2" borderId="9" xfId="1" applyNumberFormat="1" applyFont="1" applyFill="1" applyBorder="1"/>
    <xf numFmtId="0" fontId="2" fillId="2" borderId="7" xfId="0" applyFont="1" applyFill="1" applyBorder="1" applyAlignment="1">
      <alignment horizontal="left"/>
    </xf>
    <xf numFmtId="0" fontId="6" fillId="2" borderId="6" xfId="3" applyFont="1" applyFill="1" applyBorder="1" applyAlignment="1">
      <alignment horizontal="center"/>
    </xf>
    <xf numFmtId="0" fontId="6" fillId="2" borderId="0" xfId="3" applyFont="1" applyFill="1" applyAlignment="1">
      <alignment horizontal="center"/>
    </xf>
    <xf numFmtId="0" fontId="6" fillId="2" borderId="7" xfId="3" quotePrefix="1" applyFont="1" applyFill="1" applyBorder="1" applyAlignment="1">
      <alignment horizontal="center"/>
    </xf>
    <xf numFmtId="0" fontId="6" fillId="2" borderId="16" xfId="3" applyFont="1" applyFill="1" applyBorder="1" applyAlignment="1">
      <alignment horizontal="center"/>
    </xf>
    <xf numFmtId="37" fontId="0" fillId="2" borderId="7" xfId="0" applyNumberFormat="1" applyFill="1" applyBorder="1" applyAlignment="1">
      <alignment horizontal="right" wrapText="1"/>
    </xf>
    <xf numFmtId="171" fontId="0" fillId="2" borderId="0" xfId="2" applyNumberFormat="1" applyFont="1" applyFill="1" applyAlignment="1">
      <alignment horizontal="center"/>
    </xf>
    <xf numFmtId="5" fontId="0" fillId="0" borderId="0" xfId="0" applyNumberFormat="1"/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5" fontId="4" fillId="2" borderId="0" xfId="0" applyNumberFormat="1" applyFont="1" applyFill="1"/>
    <xf numFmtId="172" fontId="4" fillId="2" borderId="0" xfId="0" applyNumberFormat="1" applyFont="1" applyFill="1"/>
    <xf numFmtId="172" fontId="0" fillId="0" borderId="0" xfId="0" applyNumberFormat="1"/>
    <xf numFmtId="5" fontId="4" fillId="2" borderId="1" xfId="0" applyNumberFormat="1" applyFont="1" applyFill="1" applyBorder="1"/>
    <xf numFmtId="5" fontId="4" fillId="2" borderId="0" xfId="2" applyNumberFormat="1" applyFont="1" applyFill="1" applyBorder="1"/>
    <xf numFmtId="5" fontId="4" fillId="2" borderId="0" xfId="1" applyNumberFormat="1" applyFont="1" applyFill="1"/>
    <xf numFmtId="5" fontId="6" fillId="2" borderId="0" xfId="0" applyNumberFormat="1" applyFont="1" applyFill="1"/>
    <xf numFmtId="165" fontId="4" fillId="2" borderId="0" xfId="2" applyNumberFormat="1" applyFont="1" applyFill="1" applyBorder="1"/>
    <xf numFmtId="165" fontId="4" fillId="2" borderId="1" xfId="2" applyNumberFormat="1" applyFont="1" applyFill="1" applyBorder="1"/>
    <xf numFmtId="1" fontId="6" fillId="2" borderId="0" xfId="3" applyNumberFormat="1" applyFont="1" applyFill="1"/>
    <xf numFmtId="43" fontId="6" fillId="0" borderId="0" xfId="3" applyNumberFormat="1" applyFont="1"/>
    <xf numFmtId="172" fontId="6" fillId="2" borderId="7" xfId="1" applyNumberFormat="1" applyFont="1" applyFill="1" applyBorder="1"/>
    <xf numFmtId="172" fontId="6" fillId="2" borderId="7" xfId="3" applyNumberFormat="1" applyFont="1" applyFill="1" applyBorder="1"/>
    <xf numFmtId="172" fontId="6" fillId="2" borderId="9" xfId="3" applyNumberFormat="1" applyFont="1" applyFill="1" applyBorder="1"/>
    <xf numFmtId="172" fontId="6" fillId="2" borderId="4" xfId="3" applyNumberFormat="1" applyFont="1" applyFill="1" applyBorder="1"/>
    <xf numFmtId="0" fontId="6" fillId="2" borderId="6" xfId="3" applyFont="1" applyFill="1" applyBorder="1" applyAlignment="1">
      <alignment horizontal="left" indent="1"/>
    </xf>
    <xf numFmtId="5" fontId="6" fillId="2" borderId="4" xfId="3" applyNumberFormat="1" applyFont="1" applyFill="1" applyBorder="1"/>
    <xf numFmtId="0" fontId="6" fillId="2" borderId="15" xfId="3" applyFont="1" applyFill="1" applyBorder="1"/>
    <xf numFmtId="0" fontId="6" fillId="2" borderId="14" xfId="3" applyFont="1" applyFill="1" applyBorder="1"/>
    <xf numFmtId="172" fontId="6" fillId="2" borderId="13" xfId="1" applyNumberFormat="1" applyFont="1" applyFill="1" applyBorder="1"/>
    <xf numFmtId="5" fontId="6" fillId="2" borderId="0" xfId="2" applyNumberFormat="1" applyFont="1" applyFill="1" applyBorder="1"/>
    <xf numFmtId="5" fontId="6" fillId="2" borderId="0" xfId="3" applyNumberFormat="1" applyFont="1" applyFill="1"/>
    <xf numFmtId="172" fontId="6" fillId="0" borderId="7" xfId="3" applyNumberFormat="1" applyFont="1" applyBorder="1"/>
    <xf numFmtId="0" fontId="6" fillId="2" borderId="15" xfId="3" applyFont="1" applyFill="1" applyBorder="1" applyAlignment="1">
      <alignment horizontal="center" wrapText="1"/>
    </xf>
    <xf numFmtId="172" fontId="6" fillId="2" borderId="7" xfId="4" applyNumberFormat="1" applyFont="1" applyFill="1" applyBorder="1"/>
    <xf numFmtId="168" fontId="6" fillId="2" borderId="0" xfId="2" applyNumberFormat="1" applyFont="1" applyFill="1" applyAlignment="1">
      <alignment horizontal="left"/>
    </xf>
    <xf numFmtId="168" fontId="6" fillId="2" borderId="0" xfId="2" applyNumberFormat="1" applyFont="1" applyFill="1" applyBorder="1" applyAlignment="1">
      <alignment horizontal="left"/>
    </xf>
    <xf numFmtId="9" fontId="0" fillId="2" borderId="0" xfId="2" applyFont="1" applyFill="1" applyAlignment="1">
      <alignment horizontal="center"/>
    </xf>
    <xf numFmtId="10" fontId="0" fillId="2" borderId="0" xfId="2" applyNumberFormat="1" applyFont="1" applyFill="1" applyAlignment="1">
      <alignment horizontal="center"/>
    </xf>
    <xf numFmtId="166" fontId="0" fillId="2" borderId="16" xfId="1" applyNumberFormat="1" applyFont="1" applyFill="1" applyBorder="1"/>
    <xf numFmtId="167" fontId="0" fillId="2" borderId="0" xfId="0" applyNumberFormat="1" applyFill="1" applyAlignment="1">
      <alignment horizontal="left"/>
    </xf>
    <xf numFmtId="0" fontId="0" fillId="2" borderId="7" xfId="0" applyFill="1" applyBorder="1" applyAlignment="1">
      <alignment horizontal="right"/>
    </xf>
    <xf numFmtId="172" fontId="8" fillId="2" borderId="7" xfId="1" applyNumberFormat="1" applyFont="1" applyFill="1" applyBorder="1"/>
    <xf numFmtId="172" fontId="8" fillId="2" borderId="7" xfId="4" applyNumberFormat="1" applyFont="1" applyFill="1" applyBorder="1"/>
    <xf numFmtId="172" fontId="6" fillId="2" borderId="0" xfId="3" applyNumberFormat="1" applyFont="1" applyFill="1"/>
    <xf numFmtId="5" fontId="6" fillId="2" borderId="7" xfId="2" applyNumberFormat="1" applyFont="1" applyFill="1" applyBorder="1"/>
    <xf numFmtId="5" fontId="8" fillId="2" borderId="7" xfId="2" applyNumberFormat="1" applyFont="1" applyFill="1" applyBorder="1"/>
    <xf numFmtId="5" fontId="6" fillId="2" borderId="4" xfId="2" applyNumberFormat="1" applyFont="1" applyFill="1" applyBorder="1"/>
    <xf numFmtId="173" fontId="6" fillId="2" borderId="0" xfId="3" applyNumberFormat="1" applyFont="1" applyFill="1"/>
    <xf numFmtId="0" fontId="6" fillId="2" borderId="0" xfId="3" applyFont="1" applyFill="1" applyAlignment="1">
      <alignment horizontal="left"/>
    </xf>
    <xf numFmtId="5" fontId="6" fillId="2" borderId="13" xfId="3" applyNumberFormat="1" applyFont="1" applyFill="1" applyBorder="1"/>
    <xf numFmtId="172" fontId="6" fillId="2" borderId="13" xfId="3" applyNumberFormat="1" applyFont="1" applyFill="1" applyBorder="1"/>
    <xf numFmtId="10" fontId="6" fillId="2" borderId="13" xfId="2" applyNumberFormat="1" applyFont="1" applyFill="1" applyBorder="1"/>
    <xf numFmtId="5" fontId="6" fillId="2" borderId="12" xfId="3" applyNumberFormat="1" applyFont="1" applyFill="1" applyBorder="1"/>
    <xf numFmtId="0" fontId="6" fillId="2" borderId="17" xfId="3" applyFont="1" applyFill="1" applyBorder="1"/>
    <xf numFmtId="9" fontId="0" fillId="2" borderId="0" xfId="2" applyFont="1" applyFill="1" applyBorder="1" applyAlignment="1">
      <alignment horizontal="center"/>
    </xf>
    <xf numFmtId="10" fontId="6" fillId="2" borderId="4" xfId="2" applyNumberFormat="1" applyFont="1" applyFill="1" applyBorder="1"/>
    <xf numFmtId="0" fontId="6" fillId="2" borderId="4" xfId="3" applyFont="1" applyFill="1" applyBorder="1" applyAlignment="1">
      <alignment horizontal="right"/>
    </xf>
    <xf numFmtId="10" fontId="6" fillId="2" borderId="0" xfId="2" applyNumberFormat="1" applyFont="1" applyFill="1" applyBorder="1"/>
    <xf numFmtId="0" fontId="6" fillId="2" borderId="1" xfId="3" applyFont="1" applyFill="1" applyBorder="1" applyAlignment="1">
      <alignment horizontal="center" wrapText="1"/>
    </xf>
    <xf numFmtId="0" fontId="4" fillId="2" borderId="0" xfId="3" applyFont="1" applyFill="1"/>
    <xf numFmtId="5" fontId="4" fillId="2" borderId="1" xfId="1" applyNumberFormat="1" applyFont="1" applyFill="1" applyBorder="1"/>
    <xf numFmtId="167" fontId="0" fillId="2" borderId="0" xfId="0" applyNumberFormat="1" applyFill="1" applyAlignment="1">
      <alignment horizontal="center"/>
    </xf>
    <xf numFmtId="0" fontId="11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0" fillId="2" borderId="16" xfId="0" applyFill="1" applyBorder="1"/>
    <xf numFmtId="5" fontId="0" fillId="2" borderId="4" xfId="1" applyNumberFormat="1" applyFont="1" applyFill="1" applyBorder="1"/>
    <xf numFmtId="10" fontId="4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0" fillId="0" borderId="7" xfId="0" applyBorder="1"/>
    <xf numFmtId="0" fontId="2" fillId="2" borderId="8" xfId="0" applyFont="1" applyFill="1" applyBorder="1" applyAlignment="1">
      <alignment horizontal="center" wrapText="1"/>
    </xf>
    <xf numFmtId="5" fontId="2" fillId="2" borderId="9" xfId="1" applyNumberFormat="1" applyFont="1" applyFill="1" applyBorder="1" applyAlignment="1">
      <alignment horizontal="center" wrapText="1"/>
    </xf>
    <xf numFmtId="3" fontId="0" fillId="2" borderId="7" xfId="0" applyNumberFormat="1" applyFill="1" applyBorder="1" applyAlignment="1">
      <alignment horizontal="right"/>
    </xf>
    <xf numFmtId="37" fontId="0" fillId="2" borderId="4" xfId="0" applyNumberFormat="1" applyFill="1" applyBorder="1" applyAlignment="1">
      <alignment horizontal="center"/>
    </xf>
    <xf numFmtId="10" fontId="0" fillId="2" borderId="5" xfId="2" applyNumberFormat="1" applyFont="1" applyFill="1" applyBorder="1" applyAlignment="1">
      <alignment horizontal="center"/>
    </xf>
    <xf numFmtId="37" fontId="0" fillId="2" borderId="6" xfId="1" applyNumberFormat="1" applyFont="1" applyFill="1" applyBorder="1"/>
    <xf numFmtId="37" fontId="0" fillId="2" borderId="8" xfId="1" applyNumberFormat="1" applyFont="1" applyFill="1" applyBorder="1"/>
    <xf numFmtId="174" fontId="0" fillId="2" borderId="0" xfId="0" applyNumberFormat="1" applyFill="1"/>
    <xf numFmtId="165" fontId="0" fillId="2" borderId="0" xfId="0" applyNumberFormat="1" applyFill="1"/>
    <xf numFmtId="37" fontId="0" fillId="2" borderId="7" xfId="0" applyNumberFormat="1" applyFill="1" applyBorder="1" applyAlignment="1">
      <alignment horizontal="center"/>
    </xf>
    <xf numFmtId="10" fontId="0" fillId="2" borderId="13" xfId="2" applyNumberFormat="1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right"/>
    </xf>
    <xf numFmtId="5" fontId="0" fillId="2" borderId="10" xfId="1" applyNumberFormat="1" applyFont="1" applyFill="1" applyBorder="1" applyAlignment="1">
      <alignment horizontal="left"/>
    </xf>
    <xf numFmtId="10" fontId="4" fillId="2" borderId="11" xfId="0" applyNumberFormat="1" applyFont="1" applyFill="1" applyBorder="1" applyAlignment="1">
      <alignment horizontal="center"/>
    </xf>
    <xf numFmtId="5" fontId="0" fillId="2" borderId="8" xfId="1" applyNumberFormat="1" applyFont="1" applyFill="1" applyBorder="1" applyAlignment="1">
      <alignment horizontal="left"/>
    </xf>
    <xf numFmtId="10" fontId="0" fillId="2" borderId="12" xfId="2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left"/>
    </xf>
    <xf numFmtId="0" fontId="11" fillId="0" borderId="0" xfId="0" applyFont="1"/>
    <xf numFmtId="5" fontId="0" fillId="2" borderId="16" xfId="1" applyNumberFormat="1" applyFont="1" applyFill="1" applyBorder="1"/>
    <xf numFmtId="10" fontId="0" fillId="2" borderId="16" xfId="2" applyNumberFormat="1" applyFont="1" applyFill="1" applyBorder="1" applyAlignment="1">
      <alignment horizontal="center"/>
    </xf>
    <xf numFmtId="10" fontId="0" fillId="2" borderId="7" xfId="0" applyNumberFormat="1" applyFill="1" applyBorder="1"/>
    <xf numFmtId="10" fontId="0" fillId="2" borderId="13" xfId="0" applyNumberFormat="1" applyFill="1" applyBorder="1"/>
    <xf numFmtId="10" fontId="0" fillId="2" borderId="12" xfId="0" applyNumberFormat="1" applyFill="1" applyBorder="1"/>
    <xf numFmtId="0" fontId="13" fillId="2" borderId="0" xfId="0" applyFont="1" applyFill="1" applyAlignment="1">
      <alignment horizontal="center"/>
    </xf>
    <xf numFmtId="0" fontId="0" fillId="2" borderId="5" xfId="0" applyFill="1" applyBorder="1" applyAlignment="1">
      <alignment horizontal="center"/>
    </xf>
    <xf numFmtId="175" fontId="0" fillId="0" borderId="0" xfId="0" applyNumberFormat="1"/>
    <xf numFmtId="171" fontId="0" fillId="0" borderId="0" xfId="2" applyNumberFormat="1" applyFont="1"/>
    <xf numFmtId="176" fontId="0" fillId="0" borderId="0" xfId="2" applyNumberFormat="1" applyFont="1"/>
    <xf numFmtId="5" fontId="0" fillId="2" borderId="4" xfId="0" applyNumberFormat="1" applyFill="1" applyBorder="1" applyAlignment="1">
      <alignment horizontal="center" wrapText="1"/>
    </xf>
    <xf numFmtId="0" fontId="0" fillId="2" borderId="10" xfId="0" applyFill="1" applyBorder="1" applyAlignment="1">
      <alignment horizontal="left"/>
    </xf>
    <xf numFmtId="165" fontId="0" fillId="2" borderId="0" xfId="2" applyNumberFormat="1" applyFont="1" applyFill="1" applyBorder="1"/>
    <xf numFmtId="165" fontId="0" fillId="2" borderId="13" xfId="2" applyNumberFormat="1" applyFont="1" applyFill="1" applyBorder="1" applyAlignment="1"/>
    <xf numFmtId="0" fontId="4" fillId="2" borderId="6" xfId="0" applyFont="1" applyFill="1" applyBorder="1" applyAlignment="1">
      <alignment horizontal="left"/>
    </xf>
    <xf numFmtId="172" fontId="0" fillId="2" borderId="0" xfId="2" applyNumberFormat="1" applyFont="1" applyFill="1" applyBorder="1" applyAlignment="1"/>
    <xf numFmtId="5" fontId="0" fillId="2" borderId="13" xfId="0" applyNumberFormat="1" applyFill="1" applyBorder="1"/>
    <xf numFmtId="0" fontId="3" fillId="2" borderId="6" xfId="0" applyFont="1" applyFill="1" applyBorder="1" applyAlignment="1">
      <alignment horizontal="left"/>
    </xf>
    <xf numFmtId="178" fontId="0" fillId="2" borderId="13" xfId="2" applyNumberFormat="1" applyFont="1" applyFill="1" applyBorder="1" applyAlignment="1"/>
    <xf numFmtId="179" fontId="0" fillId="0" borderId="0" xfId="0" applyNumberFormat="1"/>
    <xf numFmtId="5" fontId="0" fillId="2" borderId="0" xfId="0" applyNumberFormat="1" applyFill="1" applyAlignment="1">
      <alignment horizontal="center" wrapText="1"/>
    </xf>
    <xf numFmtId="5" fontId="0" fillId="2" borderId="13" xfId="0" applyNumberFormat="1" applyFill="1" applyBorder="1" applyAlignment="1">
      <alignment horizontal="center" wrapText="1"/>
    </xf>
    <xf numFmtId="165" fontId="0" fillId="2" borderId="13" xfId="0" applyNumberFormat="1" applyFill="1" applyBorder="1"/>
    <xf numFmtId="177" fontId="0" fillId="2" borderId="13" xfId="0" applyNumberFormat="1" applyFill="1" applyBorder="1"/>
    <xf numFmtId="10" fontId="0" fillId="2" borderId="4" xfId="0" applyNumberFormat="1" applyFill="1" applyBorder="1"/>
    <xf numFmtId="172" fontId="0" fillId="2" borderId="13" xfId="2" applyNumberFormat="1" applyFont="1" applyFill="1" applyBorder="1" applyAlignment="1"/>
    <xf numFmtId="168" fontId="0" fillId="2" borderId="4" xfId="2" applyNumberFormat="1" applyFont="1" applyFill="1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5" fontId="0" fillId="2" borderId="15" xfId="0" applyNumberFormat="1" applyFill="1" applyBorder="1"/>
    <xf numFmtId="5" fontId="2" fillId="2" borderId="4" xfId="0" applyNumberFormat="1" applyFont="1" applyFill="1" applyBorder="1"/>
    <xf numFmtId="180" fontId="0" fillId="0" borderId="0" xfId="2" applyNumberFormat="1" applyFont="1"/>
    <xf numFmtId="173" fontId="0" fillId="0" borderId="0" xfId="0" applyNumberFormat="1"/>
    <xf numFmtId="2" fontId="0" fillId="0" borderId="0" xfId="2" applyNumberFormat="1" applyFont="1"/>
    <xf numFmtId="10" fontId="0" fillId="0" borderId="0" xfId="0" applyNumberFormat="1"/>
    <xf numFmtId="182" fontId="0" fillId="0" borderId="0" xfId="0" applyNumberFormat="1"/>
    <xf numFmtId="181" fontId="0" fillId="0" borderId="0" xfId="0" applyNumberFormat="1"/>
    <xf numFmtId="178" fontId="0" fillId="2" borderId="13" xfId="0" applyNumberFormat="1" applyFill="1" applyBorder="1"/>
    <xf numFmtId="178" fontId="0" fillId="2" borderId="12" xfId="0" applyNumberFormat="1" applyFill="1" applyBorder="1"/>
    <xf numFmtId="10" fontId="0" fillId="2" borderId="4" xfId="2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/>
    </xf>
    <xf numFmtId="5" fontId="4" fillId="2" borderId="7" xfId="0" applyNumberFormat="1" applyFont="1" applyFill="1" applyBorder="1"/>
    <xf numFmtId="5" fontId="4" fillId="2" borderId="9" xfId="0" applyNumberFormat="1" applyFont="1" applyFill="1" applyBorder="1"/>
    <xf numFmtId="178" fontId="0" fillId="0" borderId="0" xfId="0" applyNumberFormat="1"/>
    <xf numFmtId="176" fontId="0" fillId="0" borderId="0" xfId="0" applyNumberFormat="1"/>
    <xf numFmtId="183" fontId="0" fillId="0" borderId="0" xfId="0" applyNumberFormat="1"/>
    <xf numFmtId="0" fontId="2" fillId="2" borderId="0" xfId="0" applyFont="1" applyFill="1"/>
    <xf numFmtId="165" fontId="4" fillId="2" borderId="4" xfId="2" applyNumberFormat="1" applyFont="1" applyFill="1" applyBorder="1"/>
    <xf numFmtId="167" fontId="0" fillId="2" borderId="1" xfId="0" applyNumberFormat="1" applyFill="1" applyBorder="1"/>
    <xf numFmtId="5" fontId="0" fillId="2" borderId="5" xfId="0" applyNumberFormat="1" applyFill="1" applyBorder="1" applyAlignment="1">
      <alignment horizontal="center" wrapText="1"/>
    </xf>
    <xf numFmtId="172" fontId="0" fillId="2" borderId="7" xfId="2" applyNumberFormat="1" applyFont="1" applyFill="1" applyBorder="1" applyAlignment="1"/>
    <xf numFmtId="5" fontId="0" fillId="2" borderId="7" xfId="0" applyNumberFormat="1" applyFill="1" applyBorder="1" applyAlignment="1">
      <alignment horizontal="center" wrapText="1"/>
    </xf>
    <xf numFmtId="5" fontId="0" fillId="2" borderId="7" xfId="0" applyNumberFormat="1" applyFill="1" applyBorder="1"/>
    <xf numFmtId="165" fontId="0" fillId="2" borderId="7" xfId="2" applyNumberFormat="1" applyFont="1" applyFill="1" applyBorder="1" applyAlignment="1"/>
    <xf numFmtId="178" fontId="0" fillId="2" borderId="7" xfId="2" applyNumberFormat="1" applyFont="1" applyFill="1" applyBorder="1" applyAlignment="1"/>
    <xf numFmtId="178" fontId="0" fillId="2" borderId="7" xfId="0" applyNumberFormat="1" applyFill="1" applyBorder="1"/>
    <xf numFmtId="178" fontId="0" fillId="2" borderId="9" xfId="0" applyNumberFormat="1" applyFill="1" applyBorder="1"/>
    <xf numFmtId="5" fontId="0" fillId="2" borderId="0" xfId="1" applyNumberFormat="1" applyFont="1" applyFill="1" applyAlignment="1">
      <alignment horizontal="right"/>
    </xf>
    <xf numFmtId="184" fontId="0" fillId="0" borderId="0" xfId="0" applyNumberFormat="1"/>
    <xf numFmtId="0" fontId="0" fillId="2" borderId="9" xfId="0" applyFill="1" applyBorder="1" applyAlignment="1">
      <alignment horizontal="right"/>
    </xf>
    <xf numFmtId="166" fontId="0" fillId="2" borderId="4" xfId="1" applyNumberFormat="1" applyFont="1" applyFill="1" applyBorder="1"/>
    <xf numFmtId="166" fontId="0" fillId="2" borderId="16" xfId="0" applyNumberFormat="1" applyFill="1" applyBorder="1"/>
    <xf numFmtId="168" fontId="0" fillId="2" borderId="9" xfId="2" applyNumberFormat="1" applyFont="1" applyFill="1" applyBorder="1"/>
    <xf numFmtId="0" fontId="13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7" fontId="0" fillId="2" borderId="14" xfId="0" applyNumberFormat="1" applyFill="1" applyBorder="1" applyAlignment="1">
      <alignment horizontal="center"/>
    </xf>
    <xf numFmtId="167" fontId="0" fillId="2" borderId="15" xfId="0" applyNumberFormat="1" applyFill="1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4" fillId="2" borderId="0" xfId="3" applyFont="1" applyFill="1" applyAlignment="1">
      <alignment horizontal="center"/>
    </xf>
    <xf numFmtId="0" fontId="6" fillId="2" borderId="14" xfId="3" applyFont="1" applyFill="1" applyBorder="1" applyAlignment="1">
      <alignment horizontal="center"/>
    </xf>
    <xf numFmtId="0" fontId="6" fillId="2" borderId="15" xfId="3" applyFont="1" applyFill="1" applyBorder="1" applyAlignment="1">
      <alignment horizontal="center"/>
    </xf>
    <xf numFmtId="0" fontId="6" fillId="2" borderId="5" xfId="3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37" fontId="0" fillId="2" borderId="14" xfId="0" applyNumberFormat="1" applyFill="1" applyBorder="1" applyAlignment="1">
      <alignment horizontal="center"/>
    </xf>
    <xf numFmtId="37" fontId="0" fillId="2" borderId="15" xfId="0" applyNumberFormat="1" applyFill="1" applyBorder="1" applyAlignment="1">
      <alignment horizontal="center"/>
    </xf>
    <xf numFmtId="37" fontId="0" fillId="2" borderId="5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43" fontId="2" fillId="2" borderId="16" xfId="0" applyNumberFormat="1" applyFont="1" applyFill="1" applyBorder="1" applyAlignment="1">
      <alignment horizontal="center" wrapText="1"/>
    </xf>
    <xf numFmtId="43" fontId="2" fillId="2" borderId="9" xfId="0" applyNumberFormat="1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13" fillId="0" borderId="0" xfId="0" applyFont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Alignment="1">
      <alignment horizontal="left"/>
    </xf>
    <xf numFmtId="5" fontId="0" fillId="2" borderId="0" xfId="0" applyNumberFormat="1" applyFill="1" applyAlignment="1">
      <alignment horizontal="center"/>
    </xf>
  </cellXfs>
  <cellStyles count="8">
    <cellStyle name="Comma" xfId="1" builtinId="3"/>
    <cellStyle name="Comma 2" xfId="4" xr:uid="{B1C270C0-1132-4AAF-AFEB-98CF50A410BF}"/>
    <cellStyle name="Comma 6" xfId="7" xr:uid="{73ECA620-18C8-451C-AE91-5AE27462A7DC}"/>
    <cellStyle name="Normal" xfId="0" builtinId="0"/>
    <cellStyle name="Normal 2" xfId="3" xr:uid="{31586492-21B1-4BD0-8670-C9A069F3C8E1}"/>
    <cellStyle name="Normal 2 2" xfId="6" xr:uid="{1BD99BD0-AEA4-4480-A563-BF8914C167F2}"/>
    <cellStyle name="Percent" xfId="2" builtinId="5"/>
    <cellStyle name="Percent 2" xfId="5" xr:uid="{25B36C93-1FC1-4768-BB73-28718BEBF0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3D0ED-7CEF-44CF-AEC1-DA442EEE9049}">
  <sheetPr>
    <pageSetUpPr fitToPage="1"/>
  </sheetPr>
  <dimension ref="A1:F62"/>
  <sheetViews>
    <sheetView zoomScaleNormal="100" workbookViewId="0">
      <selection activeCell="D24" sqref="D24"/>
    </sheetView>
  </sheetViews>
  <sheetFormatPr defaultRowHeight="15" x14ac:dyDescent="0.25"/>
  <cols>
    <col min="1" max="1" width="6" customWidth="1"/>
    <col min="2" max="2" width="47.7109375" customWidth="1"/>
    <col min="3" max="4" width="21.140625" customWidth="1"/>
    <col min="5" max="5" width="23.5703125" customWidth="1"/>
    <col min="6" max="6" width="13.28515625" bestFit="1" customWidth="1"/>
  </cols>
  <sheetData>
    <row r="1" spans="1:5" ht="18.75" x14ac:dyDescent="0.3">
      <c r="A1" s="262" t="s">
        <v>286</v>
      </c>
      <c r="B1" s="262"/>
      <c r="C1" s="262"/>
      <c r="D1" s="262"/>
    </row>
    <row r="2" spans="1:5" x14ac:dyDescent="0.25">
      <c r="A2" s="1"/>
      <c r="B2" s="1"/>
      <c r="C2" s="1"/>
      <c r="D2" s="1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2" t="s">
        <v>36</v>
      </c>
      <c r="D4" s="2" t="s">
        <v>0</v>
      </c>
    </row>
    <row r="5" spans="1:5" ht="9" customHeight="1" x14ac:dyDescent="0.25">
      <c r="A5" s="1"/>
      <c r="B5" s="1"/>
      <c r="C5" s="2"/>
      <c r="D5" s="2"/>
    </row>
    <row r="6" spans="1:5" ht="47.25" customHeight="1" x14ac:dyDescent="0.25">
      <c r="A6" s="3" t="s">
        <v>1</v>
      </c>
      <c r="B6" s="1"/>
      <c r="C6" s="2" t="s">
        <v>268</v>
      </c>
      <c r="D6" s="2" t="s">
        <v>268</v>
      </c>
    </row>
    <row r="7" spans="1:5" x14ac:dyDescent="0.25">
      <c r="A7" s="4"/>
      <c r="B7" s="1"/>
      <c r="C7" s="4" t="s">
        <v>2</v>
      </c>
      <c r="D7" s="4" t="s">
        <v>3</v>
      </c>
      <c r="E7" s="5"/>
    </row>
    <row r="8" spans="1:5" x14ac:dyDescent="0.25">
      <c r="A8" s="4">
        <v>1</v>
      </c>
      <c r="B8" s="1" t="s">
        <v>4</v>
      </c>
      <c r="C8" s="6"/>
      <c r="D8" s="6"/>
      <c r="E8" s="5"/>
    </row>
    <row r="9" spans="1:5" x14ac:dyDescent="0.25">
      <c r="A9" s="4">
        <v>2</v>
      </c>
      <c r="B9" s="7" t="s">
        <v>5</v>
      </c>
      <c r="C9" s="8">
        <v>0</v>
      </c>
      <c r="D9" s="8">
        <v>0</v>
      </c>
    </row>
    <row r="10" spans="1:5" x14ac:dyDescent="0.25">
      <c r="A10" s="4">
        <v>3</v>
      </c>
      <c r="B10" s="7" t="s">
        <v>6</v>
      </c>
      <c r="C10" s="8">
        <v>0</v>
      </c>
      <c r="D10" s="8">
        <v>0</v>
      </c>
    </row>
    <row r="11" spans="1:5" x14ac:dyDescent="0.25">
      <c r="A11" s="4">
        <v>4</v>
      </c>
      <c r="B11" s="7" t="s">
        <v>7</v>
      </c>
      <c r="C11" s="8">
        <v>0</v>
      </c>
      <c r="D11" s="8">
        <v>0</v>
      </c>
    </row>
    <row r="12" spans="1:5" x14ac:dyDescent="0.25">
      <c r="A12" s="4">
        <v>5</v>
      </c>
      <c r="B12" s="7" t="s">
        <v>8</v>
      </c>
      <c r="C12" s="8">
        <v>0</v>
      </c>
      <c r="D12" s="8">
        <v>0</v>
      </c>
    </row>
    <row r="13" spans="1:5" x14ac:dyDescent="0.25">
      <c r="A13" s="4">
        <v>6</v>
      </c>
      <c r="B13" s="7" t="s">
        <v>9</v>
      </c>
      <c r="C13" s="9">
        <v>0</v>
      </c>
      <c r="D13" s="9">
        <v>0</v>
      </c>
    </row>
    <row r="14" spans="1:5" x14ac:dyDescent="0.25">
      <c r="A14" s="4">
        <v>7</v>
      </c>
      <c r="B14" s="1" t="s">
        <v>10</v>
      </c>
      <c r="C14" s="8">
        <f>SUM(C9:C13)</f>
        <v>0</v>
      </c>
      <c r="D14" s="8">
        <f>SUM(D9:D13)</f>
        <v>0</v>
      </c>
    </row>
    <row r="15" spans="1:5" ht="9" customHeight="1" x14ac:dyDescent="0.25">
      <c r="A15" s="4"/>
      <c r="B15" s="1"/>
      <c r="C15" s="8"/>
      <c r="D15" s="8"/>
    </row>
    <row r="16" spans="1:5" x14ac:dyDescent="0.25">
      <c r="A16" s="4">
        <v>8</v>
      </c>
      <c r="B16" s="1" t="s">
        <v>11</v>
      </c>
      <c r="C16" s="8"/>
      <c r="D16" s="8"/>
    </row>
    <row r="17" spans="1:4" x14ac:dyDescent="0.25">
      <c r="A17" s="4">
        <v>9</v>
      </c>
      <c r="B17" s="7" t="s">
        <v>12</v>
      </c>
      <c r="C17" s="8"/>
      <c r="D17" s="8"/>
    </row>
    <row r="18" spans="1:4" x14ac:dyDescent="0.25">
      <c r="A18" s="4">
        <v>10</v>
      </c>
      <c r="B18" s="7" t="s">
        <v>13</v>
      </c>
      <c r="C18" s="8">
        <v>0</v>
      </c>
      <c r="D18" s="8">
        <v>0</v>
      </c>
    </row>
    <row r="19" spans="1:4" x14ac:dyDescent="0.25">
      <c r="A19" s="4">
        <v>11</v>
      </c>
      <c r="B19" s="7" t="s">
        <v>14</v>
      </c>
      <c r="C19" s="9">
        <v>0</v>
      </c>
      <c r="D19" s="9">
        <v>0</v>
      </c>
    </row>
    <row r="20" spans="1:4" x14ac:dyDescent="0.25">
      <c r="A20" s="4">
        <v>12</v>
      </c>
      <c r="B20" s="1" t="s">
        <v>15</v>
      </c>
      <c r="C20" s="8">
        <f>SUM(C18:C19)</f>
        <v>0</v>
      </c>
      <c r="D20" s="8">
        <f>SUM(D18:D19)</f>
        <v>0</v>
      </c>
    </row>
    <row r="21" spans="1:4" ht="9" customHeight="1" x14ac:dyDescent="0.25">
      <c r="A21" s="4"/>
      <c r="B21" s="1"/>
      <c r="C21" s="8"/>
      <c r="D21" s="8"/>
    </row>
    <row r="22" spans="1:4" x14ac:dyDescent="0.25">
      <c r="A22" s="4">
        <v>13</v>
      </c>
      <c r="B22" s="1" t="s">
        <v>16</v>
      </c>
      <c r="C22" s="34"/>
      <c r="D22" s="34"/>
    </row>
    <row r="23" spans="1:4" x14ac:dyDescent="0.25">
      <c r="A23" s="4">
        <v>14</v>
      </c>
      <c r="B23" s="7" t="s">
        <v>17</v>
      </c>
      <c r="C23" s="34">
        <v>0</v>
      </c>
      <c r="D23" s="34">
        <v>0</v>
      </c>
    </row>
    <row r="24" spans="1:4" x14ac:dyDescent="0.25">
      <c r="A24" s="4">
        <v>15</v>
      </c>
      <c r="B24" s="7" t="s">
        <v>82</v>
      </c>
      <c r="C24" s="34">
        <v>17777.598073380534</v>
      </c>
      <c r="D24" s="34">
        <v>17777.598073380534</v>
      </c>
    </row>
    <row r="25" spans="1:4" x14ac:dyDescent="0.25">
      <c r="A25" s="4">
        <v>16</v>
      </c>
      <c r="B25" s="7" t="s">
        <v>18</v>
      </c>
      <c r="C25" s="34">
        <v>423000.81730826199</v>
      </c>
      <c r="D25" s="34">
        <v>397834.89768593013</v>
      </c>
    </row>
    <row r="26" spans="1:4" x14ac:dyDescent="0.25">
      <c r="A26" s="4">
        <v>17</v>
      </c>
      <c r="B26" s="7" t="s">
        <v>19</v>
      </c>
      <c r="C26" s="34">
        <v>160459.77000689507</v>
      </c>
      <c r="D26" s="34">
        <v>155985.82411686331</v>
      </c>
    </row>
    <row r="27" spans="1:4" x14ac:dyDescent="0.25">
      <c r="A27" s="4">
        <v>18</v>
      </c>
      <c r="B27" s="7" t="s">
        <v>20</v>
      </c>
      <c r="C27" s="34">
        <v>31685.610054271761</v>
      </c>
      <c r="D27" s="34">
        <v>31414.263407384977</v>
      </c>
    </row>
    <row r="28" spans="1:4" x14ac:dyDescent="0.25">
      <c r="A28" s="4">
        <v>19</v>
      </c>
      <c r="B28" s="7" t="s">
        <v>21</v>
      </c>
      <c r="C28" s="9">
        <v>589652.0535030216</v>
      </c>
      <c r="D28" s="9">
        <v>570976.20015642047</v>
      </c>
    </row>
    <row r="29" spans="1:4" x14ac:dyDescent="0.25">
      <c r="A29" s="4">
        <v>20</v>
      </c>
      <c r="B29" s="1" t="s">
        <v>22</v>
      </c>
      <c r="C29" s="8">
        <f>SUM(C23:C28)</f>
        <v>1222575.8489458309</v>
      </c>
      <c r="D29" s="8">
        <f>SUM(D23:D28)</f>
        <v>1173988.7834399794</v>
      </c>
    </row>
    <row r="30" spans="1:4" ht="9" customHeight="1" x14ac:dyDescent="0.25">
      <c r="A30" s="4"/>
      <c r="B30" s="1"/>
      <c r="C30" s="8"/>
      <c r="D30" s="8"/>
    </row>
    <row r="31" spans="1:4" x14ac:dyDescent="0.25">
      <c r="A31" s="4">
        <v>21</v>
      </c>
      <c r="B31" s="1" t="s">
        <v>23</v>
      </c>
      <c r="C31" s="8"/>
      <c r="D31" s="8"/>
    </row>
    <row r="32" spans="1:4" x14ac:dyDescent="0.25">
      <c r="A32" s="4">
        <v>22</v>
      </c>
      <c r="B32" s="7" t="s">
        <v>24</v>
      </c>
      <c r="C32" s="120">
        <v>0</v>
      </c>
      <c r="D32" s="8">
        <v>0</v>
      </c>
    </row>
    <row r="33" spans="1:6" x14ac:dyDescent="0.25">
      <c r="A33" s="4">
        <v>23</v>
      </c>
      <c r="B33" s="7" t="s">
        <v>25</v>
      </c>
      <c r="C33" s="8">
        <v>364700.02069219202</v>
      </c>
      <c r="D33" s="8">
        <v>351282.6004403308</v>
      </c>
    </row>
    <row r="34" spans="1:6" x14ac:dyDescent="0.25">
      <c r="A34" s="4">
        <v>24</v>
      </c>
      <c r="B34" s="7" t="s">
        <v>26</v>
      </c>
      <c r="C34" s="166">
        <v>-388210.31732296944</v>
      </c>
      <c r="D34" s="9">
        <v>-373045.47953267395</v>
      </c>
    </row>
    <row r="35" spans="1:6" x14ac:dyDescent="0.25">
      <c r="A35" s="4">
        <v>25</v>
      </c>
      <c r="B35" s="1" t="s">
        <v>27</v>
      </c>
      <c r="C35" s="8">
        <f>SUM(C32:C34)</f>
        <v>-23510.296630777419</v>
      </c>
      <c r="D35" s="8">
        <f>SUM(D32:D34)</f>
        <v>-21762.879092343152</v>
      </c>
    </row>
    <row r="36" spans="1:6" x14ac:dyDescent="0.25">
      <c r="A36" s="4"/>
      <c r="B36" s="1"/>
      <c r="C36" s="8"/>
      <c r="D36" s="8"/>
    </row>
    <row r="37" spans="1:6" ht="9" customHeight="1" x14ac:dyDescent="0.25">
      <c r="A37" s="4"/>
      <c r="B37" s="1"/>
      <c r="C37" s="8"/>
      <c r="D37" s="8"/>
    </row>
    <row r="38" spans="1:6" x14ac:dyDescent="0.25">
      <c r="A38" s="4">
        <v>26</v>
      </c>
      <c r="B38" s="1" t="s">
        <v>28</v>
      </c>
      <c r="C38" s="9">
        <f>C29+C35</f>
        <v>1199065.5523150535</v>
      </c>
      <c r="D38" s="9">
        <f>D29+D35</f>
        <v>1152225.9043476363</v>
      </c>
    </row>
    <row r="39" spans="1:6" ht="9" customHeight="1" x14ac:dyDescent="0.25">
      <c r="A39" s="4"/>
      <c r="B39" s="1"/>
      <c r="C39" s="8"/>
      <c r="D39" s="8"/>
    </row>
    <row r="40" spans="1:6" ht="9" customHeight="1" x14ac:dyDescent="0.25">
      <c r="A40" s="4"/>
      <c r="B40" s="1"/>
      <c r="C40" s="8"/>
      <c r="D40" s="8"/>
    </row>
    <row r="41" spans="1:6" ht="15.75" thickBot="1" x14ac:dyDescent="0.3">
      <c r="A41" s="4">
        <v>27</v>
      </c>
      <c r="B41" s="1" t="s">
        <v>29</v>
      </c>
      <c r="C41" s="10">
        <f>-C38</f>
        <v>-1199065.5523150535</v>
      </c>
      <c r="D41" s="10">
        <f>-D38</f>
        <v>-1152225.9043476363</v>
      </c>
    </row>
    <row r="42" spans="1:6" ht="9" customHeight="1" thickTop="1" x14ac:dyDescent="0.25">
      <c r="A42" s="4"/>
      <c r="B42" s="1"/>
      <c r="C42" s="11"/>
      <c r="D42" s="11"/>
    </row>
    <row r="43" spans="1:6" x14ac:dyDescent="0.25">
      <c r="A43" s="4">
        <v>28</v>
      </c>
      <c r="B43" s="1" t="s">
        <v>30</v>
      </c>
      <c r="C43" s="256">
        <v>24681.039710998535</v>
      </c>
      <c r="D43" s="8">
        <v>23716.912930011749</v>
      </c>
    </row>
    <row r="44" spans="1:6" ht="9" customHeight="1" x14ac:dyDescent="0.25">
      <c r="A44" s="4"/>
      <c r="B44" s="1"/>
      <c r="C44" s="11"/>
      <c r="D44" s="11"/>
    </row>
    <row r="45" spans="1:6" ht="18" x14ac:dyDescent="0.25">
      <c r="A45" s="4">
        <v>29</v>
      </c>
      <c r="B45" s="16" t="s">
        <v>87</v>
      </c>
      <c r="C45" s="11"/>
      <c r="D45" s="12">
        <v>1.3280297696283401</v>
      </c>
      <c r="E45" s="200"/>
      <c r="F45" s="17"/>
    </row>
    <row r="46" spans="1:6" ht="9" customHeight="1" x14ac:dyDescent="0.25">
      <c r="A46" s="4"/>
      <c r="B46" s="1"/>
      <c r="C46" s="11"/>
      <c r="D46" s="11"/>
    </row>
    <row r="47" spans="1:6" ht="18" x14ac:dyDescent="0.25">
      <c r="A47" s="4">
        <v>30</v>
      </c>
      <c r="B47" s="1" t="s">
        <v>31</v>
      </c>
      <c r="C47" s="11"/>
      <c r="D47" s="11">
        <f>D38*D45</f>
        <v>1530190.3023105972</v>
      </c>
    </row>
    <row r="48" spans="1:6" ht="9" customHeight="1" x14ac:dyDescent="0.25">
      <c r="A48" s="4"/>
      <c r="B48" s="1"/>
      <c r="C48" s="1"/>
      <c r="D48" s="1"/>
    </row>
    <row r="49" spans="1:4" ht="17.25" customHeight="1" x14ac:dyDescent="0.25">
      <c r="A49" s="4">
        <v>31</v>
      </c>
      <c r="B49" s="1" t="s">
        <v>32</v>
      </c>
      <c r="C49" s="1"/>
      <c r="D49" s="13">
        <v>7.6137274501427599E-2</v>
      </c>
    </row>
    <row r="50" spans="1:4" ht="9" customHeight="1" x14ac:dyDescent="0.25">
      <c r="A50" s="4"/>
      <c r="B50" s="1"/>
      <c r="C50" s="1"/>
      <c r="D50" s="1"/>
    </row>
    <row r="51" spans="1:4" ht="18" x14ac:dyDescent="0.25">
      <c r="A51" s="4">
        <v>32</v>
      </c>
      <c r="B51" s="1" t="s">
        <v>33</v>
      </c>
      <c r="C51" s="1"/>
      <c r="D51" s="8">
        <f>D43*D49*D45</f>
        <v>2398.0779504263214</v>
      </c>
    </row>
    <row r="52" spans="1:4" ht="9" customHeight="1" thickBot="1" x14ac:dyDescent="0.3">
      <c r="A52" s="4"/>
      <c r="B52" s="1"/>
      <c r="C52" s="1"/>
      <c r="D52" s="1"/>
    </row>
    <row r="53" spans="1:4" ht="18.75" thickBot="1" x14ac:dyDescent="0.3">
      <c r="A53" s="4">
        <v>33</v>
      </c>
      <c r="B53" s="1" t="s">
        <v>34</v>
      </c>
      <c r="C53" s="1"/>
      <c r="D53" s="14">
        <f>D47+D51</f>
        <v>1532588.3802610235</v>
      </c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5" t="s">
        <v>35</v>
      </c>
      <c r="B57" s="15"/>
      <c r="C57" s="15"/>
      <c r="D57" s="15"/>
    </row>
    <row r="58" spans="1:4" x14ac:dyDescent="0.25">
      <c r="A58" s="1" t="s">
        <v>88</v>
      </c>
      <c r="B58" s="1"/>
      <c r="C58" s="1"/>
      <c r="D58" s="1"/>
    </row>
    <row r="59" spans="1:4" x14ac:dyDescent="0.25">
      <c r="A59" s="1" t="s">
        <v>83</v>
      </c>
      <c r="B59" s="1"/>
      <c r="C59" s="1"/>
      <c r="D59" s="1"/>
    </row>
    <row r="60" spans="1:4" x14ac:dyDescent="0.25">
      <c r="A60" s="1" t="s">
        <v>272</v>
      </c>
      <c r="B60" s="1"/>
      <c r="C60" s="1"/>
      <c r="D60" s="1"/>
    </row>
    <row r="61" spans="1:4" x14ac:dyDescent="0.25">
      <c r="A61" s="1" t="s">
        <v>84</v>
      </c>
      <c r="B61" s="1"/>
      <c r="C61" s="1"/>
      <c r="D61" s="1"/>
    </row>
    <row r="62" spans="1:4" x14ac:dyDescent="0.25">
      <c r="A62" s="1" t="s">
        <v>85</v>
      </c>
      <c r="B62" s="1"/>
      <c r="C62" s="1"/>
      <c r="D62" s="1"/>
    </row>
  </sheetData>
  <mergeCells count="1">
    <mergeCell ref="A1:D1"/>
  </mergeCells>
  <printOptions horizontalCentered="1"/>
  <pageMargins left="0.7" right="0.7" top="1.35" bottom="0.75" header="0.7" footer="0.3"/>
  <pageSetup scale="78" orientation="portrait" r:id="rId1"/>
  <headerFooter scaleWithDoc="0">
    <oddHeader>&amp;R&amp;"Times New Roman,Bold"&amp;8Docket No. 25-057-06
UAE Exhibit RR 1.1
Page 1 of 3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7AD1E-7199-4B9E-8038-751FEBD1A72F}">
  <sheetPr>
    <pageSetUpPr fitToPage="1"/>
  </sheetPr>
  <dimension ref="A1:N26"/>
  <sheetViews>
    <sheetView zoomScaleNormal="100" workbookViewId="0">
      <selection activeCell="D9" sqref="D9"/>
    </sheetView>
  </sheetViews>
  <sheetFormatPr defaultRowHeight="15" x14ac:dyDescent="0.25"/>
  <cols>
    <col min="1" max="1" width="6.7109375" customWidth="1"/>
    <col min="2" max="2" width="11" customWidth="1"/>
    <col min="3" max="3" width="44.28515625" customWidth="1"/>
    <col min="4" max="4" width="20.140625" customWidth="1"/>
    <col min="5" max="5" width="1.7109375" customWidth="1"/>
    <col min="6" max="6" width="20.140625" customWidth="1"/>
    <col min="7" max="7" width="1.7109375" customWidth="1"/>
    <col min="8" max="8" width="20.140625" customWidth="1"/>
  </cols>
  <sheetData>
    <row r="1" spans="1:8" ht="18.75" x14ac:dyDescent="0.3">
      <c r="A1" s="262" t="s">
        <v>205</v>
      </c>
      <c r="B1" s="262"/>
      <c r="C1" s="262"/>
      <c r="D1" s="262"/>
      <c r="E1" s="262"/>
      <c r="F1" s="262"/>
      <c r="G1" s="262"/>
      <c r="H1" s="262"/>
    </row>
    <row r="2" spans="1:8" ht="18.75" x14ac:dyDescent="0.3">
      <c r="A2" s="198"/>
      <c r="B2" s="198"/>
      <c r="C2" s="198"/>
      <c r="D2" s="198"/>
      <c r="E2" s="198"/>
      <c r="F2" s="198"/>
      <c r="G2" s="198"/>
      <c r="H2" s="198"/>
    </row>
    <row r="3" spans="1:8" x14ac:dyDescent="0.25">
      <c r="A3" s="1"/>
      <c r="B3" s="4" t="s">
        <v>159</v>
      </c>
      <c r="C3" s="4" t="s">
        <v>74</v>
      </c>
      <c r="D3" s="4" t="s">
        <v>76</v>
      </c>
      <c r="E3" s="4"/>
      <c r="F3" s="4" t="s">
        <v>75</v>
      </c>
      <c r="G3" s="4"/>
      <c r="H3" s="4" t="s">
        <v>77</v>
      </c>
    </row>
    <row r="4" spans="1:8" ht="30" x14ac:dyDescent="0.25">
      <c r="A4" s="4" t="s">
        <v>40</v>
      </c>
      <c r="B4" s="1"/>
      <c r="C4" s="1"/>
      <c r="D4" s="3" t="s">
        <v>41</v>
      </c>
      <c r="E4" s="1"/>
      <c r="F4" s="3" t="s">
        <v>42</v>
      </c>
      <c r="G4" s="1"/>
      <c r="H4" s="3" t="s">
        <v>41</v>
      </c>
    </row>
    <row r="5" spans="1:8" ht="18" x14ac:dyDescent="0.25">
      <c r="A5" s="3" t="s">
        <v>43</v>
      </c>
      <c r="B5" s="22" t="s">
        <v>44</v>
      </c>
      <c r="C5" s="15" t="s">
        <v>45</v>
      </c>
      <c r="D5" s="22" t="s">
        <v>203</v>
      </c>
      <c r="E5" s="1"/>
      <c r="F5" s="22" t="s">
        <v>202</v>
      </c>
      <c r="G5" s="1"/>
      <c r="H5" s="22" t="s">
        <v>204</v>
      </c>
    </row>
    <row r="6" spans="1:8" ht="12" customHeight="1" x14ac:dyDescent="0.25">
      <c r="A6" s="1"/>
      <c r="B6" s="2"/>
      <c r="C6" s="1"/>
      <c r="D6" s="1"/>
      <c r="E6" s="1"/>
      <c r="F6" s="1"/>
      <c r="G6" s="1"/>
      <c r="H6" s="1"/>
    </row>
    <row r="7" spans="1:8" ht="16.5" customHeight="1" x14ac:dyDescent="0.25">
      <c r="A7" s="4">
        <v>1</v>
      </c>
      <c r="B7" s="4">
        <v>390</v>
      </c>
      <c r="C7" s="1" t="s">
        <v>65</v>
      </c>
      <c r="D7" s="208">
        <f>-H7</f>
        <v>8658437.3923076913</v>
      </c>
      <c r="E7" s="8"/>
      <c r="F7" s="1">
        <v>0</v>
      </c>
      <c r="G7" s="8"/>
      <c r="H7" s="8">
        <f>SUM('UAE RR 1.4, p. 3'!D59,'UAE RR 1.4, p. 4'!D48,'UAE RR 1.4, p. 5'!D35,'UAE RR 1.4, p. 5'!D52)</f>
        <v>-8658437.3923076913</v>
      </c>
    </row>
    <row r="8" spans="1:8" ht="16.5" customHeight="1" x14ac:dyDescent="0.25">
      <c r="A8" s="4">
        <v>2</v>
      </c>
      <c r="B8" s="4">
        <v>108</v>
      </c>
      <c r="C8" s="1" t="s">
        <v>63</v>
      </c>
      <c r="D8" s="8">
        <f>-H8</f>
        <v>-455908.36424896948</v>
      </c>
      <c r="E8" s="8"/>
      <c r="F8" s="1">
        <v>0</v>
      </c>
      <c r="G8" s="8"/>
      <c r="H8" s="208">
        <f>SUM('UAE RR 1.4, p. 3'!F59,'UAE RR 1.4, p. 4'!F48,'UAE RR 1.4, p. 5'!F35,'UAE RR 1.4, p. 5'!F52)</f>
        <v>455908.36424896948</v>
      </c>
    </row>
    <row r="9" spans="1:8" ht="16.5" customHeight="1" x14ac:dyDescent="0.25">
      <c r="A9" s="4">
        <v>3</v>
      </c>
      <c r="B9" s="4">
        <v>282</v>
      </c>
      <c r="C9" s="1" t="s">
        <v>52</v>
      </c>
      <c r="D9" s="8">
        <f>-H9</f>
        <v>-133748.79385928038</v>
      </c>
      <c r="E9" s="1"/>
      <c r="F9" s="1">
        <v>0</v>
      </c>
      <c r="G9" s="1"/>
      <c r="H9" s="208">
        <f>SUM('UAE RR 1.4, p. 3'!K59,'UAE RR 1.4, p. 4'!K48,'UAE RR 1.4, p. 5'!K35,'UAE RR 1.4, p. 5'!K52)</f>
        <v>133748.79385928038</v>
      </c>
    </row>
    <row r="10" spans="1:8" ht="16.5" customHeight="1" x14ac:dyDescent="0.25">
      <c r="A10" s="4">
        <v>4</v>
      </c>
      <c r="B10" s="4">
        <v>282</v>
      </c>
      <c r="C10" s="1" t="s">
        <v>53</v>
      </c>
      <c r="D10" s="8">
        <f>-H10</f>
        <v>-29084.589718849944</v>
      </c>
      <c r="E10" s="1"/>
      <c r="F10" s="1">
        <v>0</v>
      </c>
      <c r="G10" s="1"/>
      <c r="H10" s="208">
        <f>SUM('UAE RR 1.4, p. 3'!L59,'UAE RR 1.4, p. 4'!L48,'UAE RR 1.4, p. 5'!L35,'UAE RR 1.4, p. 5'!L52)</f>
        <v>29084.589718849944</v>
      </c>
    </row>
    <row r="11" spans="1:8" ht="16.5" customHeight="1" x14ac:dyDescent="0.25">
      <c r="A11" s="4">
        <v>5</v>
      </c>
      <c r="B11" s="4">
        <v>403</v>
      </c>
      <c r="C11" s="1" t="s">
        <v>64</v>
      </c>
      <c r="D11" s="208">
        <f>-H11</f>
        <v>265355.88414133334</v>
      </c>
      <c r="E11" s="1"/>
      <c r="F11" s="1">
        <v>0</v>
      </c>
      <c r="G11" s="1"/>
      <c r="H11" s="8">
        <f>SUM('UAE RR 1.4, p. 3'!E59,'UAE RR 1.4, p. 4'!E48,'UAE RR 1.4, p. 5'!E35,'UAE RR 1.4, p. 5'!E52)</f>
        <v>-265355.88414133334</v>
      </c>
    </row>
    <row r="12" spans="1:8" x14ac:dyDescent="0.25">
      <c r="A12" s="4"/>
      <c r="B12" s="4"/>
      <c r="C12" s="1"/>
      <c r="D12" s="8"/>
      <c r="E12" s="1"/>
      <c r="F12" s="1"/>
      <c r="G12" s="1"/>
      <c r="H12" s="11"/>
    </row>
    <row r="13" spans="1:8" x14ac:dyDescent="0.25">
      <c r="A13" s="4"/>
      <c r="B13" s="4"/>
      <c r="C13" s="1"/>
      <c r="D13" s="8"/>
      <c r="E13" s="1"/>
      <c r="F13" s="1"/>
      <c r="G13" s="1"/>
      <c r="H13" s="11"/>
    </row>
    <row r="14" spans="1:8" x14ac:dyDescent="0.25">
      <c r="A14" s="1"/>
      <c r="B14" s="1"/>
      <c r="C14" s="1"/>
      <c r="D14" s="1"/>
      <c r="E14" s="1"/>
      <c r="F14" s="1"/>
      <c r="G14" s="1"/>
      <c r="H14" s="8"/>
    </row>
    <row r="15" spans="1:8" ht="17.2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5" t="s">
        <v>35</v>
      </c>
      <c r="B16" s="15"/>
      <c r="C16" s="15"/>
      <c r="D16" s="1"/>
      <c r="E16" s="1"/>
      <c r="F16" s="1"/>
      <c r="G16" s="1"/>
      <c r="H16" s="1"/>
    </row>
    <row r="17" spans="1:14" x14ac:dyDescent="0.25">
      <c r="A17" t="s">
        <v>175</v>
      </c>
      <c r="D17" s="1"/>
      <c r="E17" s="1"/>
      <c r="F17" s="1"/>
      <c r="G17" s="1"/>
      <c r="H17" s="1"/>
    </row>
    <row r="18" spans="1:14" x14ac:dyDescent="0.25">
      <c r="A18" s="1" t="s">
        <v>176</v>
      </c>
      <c r="B18" s="1"/>
      <c r="C18" s="1"/>
      <c r="D18" s="1"/>
      <c r="E18" s="1"/>
      <c r="F18" s="1"/>
      <c r="G18" s="1"/>
      <c r="H18" s="1"/>
    </row>
    <row r="19" spans="1:14" x14ac:dyDescent="0.25">
      <c r="A19" s="1"/>
      <c r="B19" s="1"/>
      <c r="C19" s="1"/>
      <c r="D19" s="1"/>
      <c r="E19" s="1"/>
      <c r="F19" s="1"/>
      <c r="G19" s="1"/>
      <c r="H19" s="4"/>
      <c r="J19" s="78"/>
      <c r="K19" s="78"/>
      <c r="M19" s="78"/>
      <c r="N19" s="79"/>
    </row>
    <row r="20" spans="1:14" x14ac:dyDescent="0.25">
      <c r="H20" s="5"/>
      <c r="J20" s="78"/>
      <c r="N20" s="17"/>
    </row>
    <row r="21" spans="1:14" x14ac:dyDescent="0.25">
      <c r="H21" s="5"/>
      <c r="J21" s="78"/>
      <c r="N21" s="17"/>
    </row>
    <row r="22" spans="1:14" x14ac:dyDescent="0.25">
      <c r="H22" s="5"/>
      <c r="J22" s="78"/>
      <c r="N22" s="17"/>
    </row>
    <row r="26" spans="1:14" x14ac:dyDescent="0.25">
      <c r="C26" s="45"/>
    </row>
  </sheetData>
  <mergeCells count="1">
    <mergeCell ref="A1:H1"/>
  </mergeCells>
  <printOptions horizontalCentered="1"/>
  <pageMargins left="0.7" right="0.7" top="1.35" bottom="0.75" header="0.7" footer="0.3"/>
  <pageSetup scale="99" orientation="landscape" r:id="rId1"/>
  <headerFooter scaleWithDoc="0">
    <oddHeader>&amp;R&amp;"Times New Roman,Bold"&amp;8Docket No. 25-057-06
UAE Exhibit RR 1.4
Page 2 of 5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B9E3A-4FA8-4449-ACB4-916D1CE00000}">
  <sheetPr>
    <pageSetUpPr fitToPage="1"/>
  </sheetPr>
  <dimension ref="A1:R427"/>
  <sheetViews>
    <sheetView zoomScaleNormal="100" workbookViewId="0">
      <selection activeCell="H12" sqref="H12"/>
    </sheetView>
  </sheetViews>
  <sheetFormatPr defaultRowHeight="15" x14ac:dyDescent="0.25"/>
  <cols>
    <col min="1" max="1" width="7.7109375" customWidth="1"/>
    <col min="2" max="2" width="11.28515625" style="69" customWidth="1"/>
    <col min="3" max="3" width="15" style="69" customWidth="1"/>
    <col min="4" max="4" width="15.7109375" customWidth="1"/>
    <col min="5" max="5" width="15" customWidth="1"/>
    <col min="6" max="7" width="16.5703125" customWidth="1"/>
    <col min="8" max="8" width="13.28515625" customWidth="1"/>
    <col min="9" max="10" width="13.5703125" customWidth="1"/>
    <col min="11" max="11" width="12" bestFit="1" customWidth="1"/>
    <col min="12" max="12" width="12.5703125" customWidth="1"/>
    <col min="15" max="15" width="11.42578125" customWidth="1"/>
  </cols>
  <sheetData>
    <row r="1" spans="1:18" ht="20.25" x14ac:dyDescent="0.3">
      <c r="A1" s="5" t="s">
        <v>200</v>
      </c>
      <c r="B1" s="282" t="s">
        <v>177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192"/>
    </row>
    <row r="2" spans="1:18" ht="15.75" thickBot="1" x14ac:dyDescent="0.3">
      <c r="A2" s="22" t="s">
        <v>43</v>
      </c>
      <c r="B2" s="24"/>
      <c r="C2" s="24"/>
      <c r="D2" s="34"/>
      <c r="E2" s="4"/>
      <c r="F2" s="1"/>
      <c r="G2" s="1"/>
      <c r="H2" s="1"/>
      <c r="I2" s="1"/>
      <c r="J2" s="1"/>
      <c r="K2" s="1"/>
      <c r="M2" s="1"/>
      <c r="N2" s="1"/>
      <c r="O2" s="1"/>
      <c r="P2" s="1"/>
      <c r="Q2" s="1"/>
    </row>
    <row r="3" spans="1:18" ht="15.75" thickBot="1" x14ac:dyDescent="0.3">
      <c r="A3" s="4">
        <v>1</v>
      </c>
      <c r="B3" s="283" t="s">
        <v>73</v>
      </c>
      <c r="C3" s="284"/>
      <c r="D3" s="284"/>
      <c r="E3" s="28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18" customHeight="1" x14ac:dyDescent="0.25">
      <c r="A4" s="4">
        <v>2</v>
      </c>
      <c r="B4" s="101"/>
      <c r="C4" s="173"/>
      <c r="D4" s="99"/>
      <c r="E4" s="62"/>
      <c r="F4" s="286" t="s">
        <v>58</v>
      </c>
      <c r="G4" s="288" t="s">
        <v>68</v>
      </c>
      <c r="H4" s="288" t="s">
        <v>66</v>
      </c>
      <c r="I4" s="97">
        <v>0.21</v>
      </c>
      <c r="J4" s="98">
        <v>4.3671630000000003E-2</v>
      </c>
      <c r="K4" s="288" t="s">
        <v>206</v>
      </c>
      <c r="L4" s="290" t="s">
        <v>57</v>
      </c>
      <c r="M4" s="1"/>
      <c r="N4" s="278" t="s">
        <v>178</v>
      </c>
      <c r="O4" s="279"/>
      <c r="P4" s="1"/>
      <c r="Q4" s="1"/>
    </row>
    <row r="5" spans="1:18" ht="51" customHeight="1" x14ac:dyDescent="0.25">
      <c r="A5" s="4">
        <v>3</v>
      </c>
      <c r="B5" s="101" t="s">
        <v>39</v>
      </c>
      <c r="C5" s="175" t="s">
        <v>181</v>
      </c>
      <c r="D5" s="176" t="s">
        <v>72</v>
      </c>
      <c r="E5" s="169" t="s">
        <v>69</v>
      </c>
      <c r="F5" s="287"/>
      <c r="G5" s="289"/>
      <c r="H5" s="289"/>
      <c r="I5" s="96" t="s">
        <v>70</v>
      </c>
      <c r="J5" s="96" t="s">
        <v>71</v>
      </c>
      <c r="K5" s="289"/>
      <c r="L5" s="291"/>
      <c r="M5" s="1"/>
      <c r="N5" s="280"/>
      <c r="O5" s="281"/>
      <c r="P5" s="1"/>
      <c r="Q5" s="1"/>
    </row>
    <row r="6" spans="1:18" x14ac:dyDescent="0.25">
      <c r="A6" s="4">
        <f t="shared" ref="A6:A58" si="0">A5+1</f>
        <v>4</v>
      </c>
      <c r="B6" s="65">
        <v>44896</v>
      </c>
      <c r="C6" s="177">
        <v>0</v>
      </c>
      <c r="D6" s="59">
        <f>C6</f>
        <v>0</v>
      </c>
      <c r="E6" s="106">
        <v>0</v>
      </c>
      <c r="F6" s="62">
        <v>0</v>
      </c>
      <c r="G6" s="61"/>
      <c r="H6" s="61"/>
      <c r="I6" s="61"/>
      <c r="J6" s="61"/>
      <c r="K6" s="61"/>
      <c r="L6" s="61"/>
      <c r="M6" s="1"/>
      <c r="N6" s="25" t="s">
        <v>54</v>
      </c>
      <c r="O6" s="46">
        <v>3.7499999999999999E-2</v>
      </c>
      <c r="P6" s="1"/>
      <c r="Q6" s="1"/>
    </row>
    <row r="7" spans="1:18" x14ac:dyDescent="0.25">
      <c r="A7" s="4">
        <f t="shared" si="0"/>
        <v>5</v>
      </c>
      <c r="B7" s="66">
        <v>44927</v>
      </c>
      <c r="C7" s="177">
        <v>233808.79</v>
      </c>
      <c r="D7" s="59">
        <f>D6+C7</f>
        <v>233808.79</v>
      </c>
      <c r="E7" s="72">
        <f t="shared" ref="E7:E18" si="1">D7*($P$12/12)</f>
        <v>537.65720065111748</v>
      </c>
      <c r="F7" s="56">
        <f>-E7</f>
        <v>-537.65720065111748</v>
      </c>
      <c r="G7" s="59"/>
      <c r="H7" s="59"/>
      <c r="I7" s="56">
        <f>$I$19/12</f>
        <v>-1009.4969548100315</v>
      </c>
      <c r="J7" s="56">
        <f>$J$19/12</f>
        <v>-219.52201515902416</v>
      </c>
      <c r="K7" s="56">
        <f>I7</f>
        <v>-1009.4969548100315</v>
      </c>
      <c r="L7" s="56">
        <f>J7</f>
        <v>-219.52201515902416</v>
      </c>
      <c r="M7" s="1"/>
      <c r="N7" s="25" t="s">
        <v>55</v>
      </c>
      <c r="O7" s="46">
        <v>7.2190000000000004E-2</v>
      </c>
      <c r="P7" s="1"/>
      <c r="Q7" s="1"/>
    </row>
    <row r="8" spans="1:18" x14ac:dyDescent="0.25">
      <c r="A8" s="4">
        <f t="shared" si="0"/>
        <v>6</v>
      </c>
      <c r="B8" s="66">
        <v>44958</v>
      </c>
      <c r="C8" s="177">
        <v>206621.04</v>
      </c>
      <c r="D8" s="59">
        <f t="shared" ref="D8:D18" si="2">D7+C8</f>
        <v>440429.83</v>
      </c>
      <c r="E8" s="72">
        <f t="shared" si="1"/>
        <v>1012.7945552476772</v>
      </c>
      <c r="F8" s="56">
        <f t="shared" ref="F8:F18" si="3">F7-E8</f>
        <v>-1550.4517558987945</v>
      </c>
      <c r="G8" s="59"/>
      <c r="H8" s="59"/>
      <c r="I8" s="56">
        <f t="shared" ref="I8:I18" si="4">$I$19/12</f>
        <v>-1009.4969548100315</v>
      </c>
      <c r="J8" s="56">
        <f t="shared" ref="J8:J18" si="5">$J$19/12</f>
        <v>-219.52201515902416</v>
      </c>
      <c r="K8" s="56">
        <f t="shared" ref="K8:L18" si="6">K7+I8</f>
        <v>-2018.9939096200631</v>
      </c>
      <c r="L8" s="59">
        <f t="shared" si="6"/>
        <v>-439.04403031804833</v>
      </c>
      <c r="M8" s="1"/>
      <c r="N8" s="25" t="s">
        <v>56</v>
      </c>
      <c r="O8" s="46">
        <v>6.6769999999999996E-2</v>
      </c>
      <c r="P8" s="1"/>
      <c r="Q8" s="1"/>
    </row>
    <row r="9" spans="1:18" x14ac:dyDescent="0.25">
      <c r="A9" s="4">
        <f t="shared" si="0"/>
        <v>7</v>
      </c>
      <c r="B9" s="66">
        <v>44986</v>
      </c>
      <c r="C9" s="177">
        <v>264577.44</v>
      </c>
      <c r="D9" s="59">
        <f t="shared" si="2"/>
        <v>705007.27</v>
      </c>
      <c r="E9" s="72">
        <f t="shared" si="1"/>
        <v>1621.2060942058104</v>
      </c>
      <c r="F9" s="56">
        <f t="shared" si="3"/>
        <v>-3171.6578501046051</v>
      </c>
      <c r="G9" s="59"/>
      <c r="H9" s="59"/>
      <c r="I9" s="56">
        <f t="shared" si="4"/>
        <v>-1009.4969548100315</v>
      </c>
      <c r="J9" s="56">
        <f t="shared" si="5"/>
        <v>-219.52201515902416</v>
      </c>
      <c r="K9" s="56">
        <f t="shared" si="6"/>
        <v>-3028.4908644300945</v>
      </c>
      <c r="L9" s="59">
        <f t="shared" si="6"/>
        <v>-658.56604547707252</v>
      </c>
      <c r="M9" s="1"/>
      <c r="N9" s="47" t="s">
        <v>180</v>
      </c>
      <c r="O9" s="32">
        <v>6.1769999999999999E-2</v>
      </c>
      <c r="P9" s="1"/>
      <c r="Q9" s="1"/>
    </row>
    <row r="10" spans="1:18" x14ac:dyDescent="0.25">
      <c r="A10" s="4">
        <f t="shared" si="0"/>
        <v>8</v>
      </c>
      <c r="B10" s="66">
        <v>45017</v>
      </c>
      <c r="C10" s="177">
        <v>205268.97</v>
      </c>
      <c r="D10" s="59">
        <f t="shared" si="2"/>
        <v>910276.24</v>
      </c>
      <c r="E10" s="72">
        <f t="shared" si="1"/>
        <v>2093.2342835255458</v>
      </c>
      <c r="F10" s="56">
        <f t="shared" si="3"/>
        <v>-5264.892133630151</v>
      </c>
      <c r="G10" s="59"/>
      <c r="H10" s="59"/>
      <c r="I10" s="56">
        <f t="shared" si="4"/>
        <v>-1009.4969548100315</v>
      </c>
      <c r="J10" s="56">
        <f t="shared" si="5"/>
        <v>-219.52201515902416</v>
      </c>
      <c r="K10" s="56">
        <f t="shared" si="6"/>
        <v>-4037.9878192401261</v>
      </c>
      <c r="L10" s="59">
        <f t="shared" si="6"/>
        <v>-878.08806063609666</v>
      </c>
      <c r="M10" s="1"/>
      <c r="N10" s="1"/>
      <c r="O10" s="1"/>
      <c r="P10" s="1"/>
      <c r="Q10" s="1"/>
    </row>
    <row r="11" spans="1:18" ht="18" x14ac:dyDescent="0.25">
      <c r="A11" s="4">
        <f t="shared" si="0"/>
        <v>9</v>
      </c>
      <c r="B11" s="66">
        <v>45047</v>
      </c>
      <c r="C11" s="177">
        <v>237139.03</v>
      </c>
      <c r="D11" s="59">
        <f t="shared" si="2"/>
        <v>1147415.27</v>
      </c>
      <c r="E11" s="72">
        <f t="shared" si="1"/>
        <v>2638.5495688701271</v>
      </c>
      <c r="F11" s="56">
        <f t="shared" si="3"/>
        <v>-7903.4417025002786</v>
      </c>
      <c r="G11" s="59"/>
      <c r="H11" s="59"/>
      <c r="I11" s="56">
        <f t="shared" si="4"/>
        <v>-1009.4969548100315</v>
      </c>
      <c r="J11" s="56">
        <f t="shared" si="5"/>
        <v>-219.52201515902416</v>
      </c>
      <c r="K11" s="56">
        <f t="shared" si="6"/>
        <v>-5047.4847740501573</v>
      </c>
      <c r="L11" s="59">
        <f t="shared" si="6"/>
        <v>-1097.6100757951208</v>
      </c>
      <c r="M11" s="1"/>
      <c r="N11" s="268" t="s">
        <v>248</v>
      </c>
      <c r="O11" s="292"/>
      <c r="P11" s="269"/>
      <c r="Q11" s="1"/>
    </row>
    <row r="12" spans="1:18" x14ac:dyDescent="0.25">
      <c r="A12" s="4">
        <f t="shared" si="0"/>
        <v>10</v>
      </c>
      <c r="B12" s="66">
        <v>45078</v>
      </c>
      <c r="C12" s="177">
        <v>201996.29</v>
      </c>
      <c r="D12" s="59">
        <f t="shared" si="2"/>
        <v>1349411.56</v>
      </c>
      <c r="E12" s="72">
        <f t="shared" si="1"/>
        <v>3103.0520361354143</v>
      </c>
      <c r="F12" s="56">
        <f t="shared" si="3"/>
        <v>-11006.493738635692</v>
      </c>
      <c r="G12" s="59"/>
      <c r="H12" s="59"/>
      <c r="I12" s="56">
        <f t="shared" si="4"/>
        <v>-1009.4969548100315</v>
      </c>
      <c r="J12" s="56">
        <f t="shared" si="5"/>
        <v>-219.52201515902416</v>
      </c>
      <c r="K12" s="56">
        <f t="shared" si="6"/>
        <v>-6056.9817288601889</v>
      </c>
      <c r="L12" s="59">
        <f t="shared" si="6"/>
        <v>-1317.132090954145</v>
      </c>
      <c r="M12" s="1"/>
      <c r="N12" s="171" t="s">
        <v>246</v>
      </c>
      <c r="O12" s="77"/>
      <c r="P12" s="172">
        <v>2.7594712789940062E-2</v>
      </c>
      <c r="Q12" s="1"/>
    </row>
    <row r="13" spans="1:18" x14ac:dyDescent="0.25">
      <c r="A13" s="4">
        <f t="shared" si="0"/>
        <v>11</v>
      </c>
      <c r="B13" s="66">
        <v>45108</v>
      </c>
      <c r="C13" s="177">
        <v>199401.37</v>
      </c>
      <c r="D13" s="59">
        <f t="shared" si="2"/>
        <v>1548812.9300000002</v>
      </c>
      <c r="E13" s="72">
        <f t="shared" si="1"/>
        <v>3561.5873307246288</v>
      </c>
      <c r="F13" s="56">
        <f t="shared" si="3"/>
        <v>-14568.081069360322</v>
      </c>
      <c r="G13" s="59"/>
      <c r="H13" s="59"/>
      <c r="I13" s="56">
        <f t="shared" si="4"/>
        <v>-1009.4969548100315</v>
      </c>
      <c r="J13" s="56">
        <f t="shared" si="5"/>
        <v>-219.52201515902416</v>
      </c>
      <c r="K13" s="56">
        <f t="shared" si="6"/>
        <v>-7066.4786836702206</v>
      </c>
      <c r="L13" s="59">
        <f t="shared" si="6"/>
        <v>-1536.6541061131693</v>
      </c>
      <c r="M13" s="1"/>
      <c r="N13" s="171" t="s">
        <v>247</v>
      </c>
      <c r="O13" s="77"/>
      <c r="P13" s="232">
        <v>3.04E-2</v>
      </c>
      <c r="Q13" s="1"/>
    </row>
    <row r="14" spans="1:18" x14ac:dyDescent="0.25">
      <c r="A14" s="4">
        <f t="shared" si="0"/>
        <v>12</v>
      </c>
      <c r="B14" s="66">
        <v>45139</v>
      </c>
      <c r="C14" s="177">
        <v>242319.4</v>
      </c>
      <c r="D14" s="59">
        <f t="shared" si="2"/>
        <v>1791132.33</v>
      </c>
      <c r="E14" s="72">
        <f t="shared" si="1"/>
        <v>4118.8151845938455</v>
      </c>
      <c r="F14" s="56">
        <f t="shared" si="3"/>
        <v>-18686.896253954168</v>
      </c>
      <c r="G14" s="59"/>
      <c r="H14" s="59"/>
      <c r="I14" s="56">
        <f t="shared" si="4"/>
        <v>-1009.4969548100315</v>
      </c>
      <c r="J14" s="56">
        <f t="shared" si="5"/>
        <v>-219.52201515902416</v>
      </c>
      <c r="K14" s="56">
        <f t="shared" si="6"/>
        <v>-8075.9756384802522</v>
      </c>
      <c r="L14" s="59">
        <f t="shared" si="6"/>
        <v>-1756.1761212721935</v>
      </c>
      <c r="M14" s="1"/>
      <c r="N14" s="1"/>
      <c r="O14" s="1"/>
      <c r="P14" s="1"/>
      <c r="Q14" s="1"/>
    </row>
    <row r="15" spans="1:18" x14ac:dyDescent="0.25">
      <c r="A15" s="4">
        <f t="shared" si="0"/>
        <v>13</v>
      </c>
      <c r="B15" s="66">
        <v>45170</v>
      </c>
      <c r="C15" s="177">
        <v>201681.3</v>
      </c>
      <c r="D15" s="59">
        <f t="shared" si="2"/>
        <v>1992813.6300000001</v>
      </c>
      <c r="E15" s="72">
        <f t="shared" si="1"/>
        <v>4582.5933136439899</v>
      </c>
      <c r="F15" s="56">
        <f t="shared" si="3"/>
        <v>-23269.489567598157</v>
      </c>
      <c r="G15" s="59"/>
      <c r="H15" s="59"/>
      <c r="I15" s="56">
        <f t="shared" si="4"/>
        <v>-1009.4969548100315</v>
      </c>
      <c r="J15" s="56">
        <f t="shared" si="5"/>
        <v>-219.52201515902416</v>
      </c>
      <c r="K15" s="56">
        <f t="shared" si="6"/>
        <v>-9085.4725932902838</v>
      </c>
      <c r="L15" s="59">
        <f t="shared" si="6"/>
        <v>-1975.6981364312178</v>
      </c>
      <c r="M15" s="1"/>
      <c r="N15" s="1"/>
      <c r="O15" s="41"/>
      <c r="P15" s="1"/>
      <c r="Q15" s="1"/>
    </row>
    <row r="16" spans="1:18" x14ac:dyDescent="0.25">
      <c r="A16" s="4">
        <f t="shared" si="0"/>
        <v>14</v>
      </c>
      <c r="B16" s="66">
        <v>45200</v>
      </c>
      <c r="C16" s="177">
        <v>225395.26</v>
      </c>
      <c r="D16" s="59">
        <f t="shared" si="2"/>
        <v>2218208.89</v>
      </c>
      <c r="E16" s="72">
        <f t="shared" si="1"/>
        <v>5100.9031023034786</v>
      </c>
      <c r="F16" s="56">
        <f t="shared" si="3"/>
        <v>-28370.392669901637</v>
      </c>
      <c r="G16" s="59"/>
      <c r="H16" s="59"/>
      <c r="I16" s="56">
        <f t="shared" si="4"/>
        <v>-1009.4969548100315</v>
      </c>
      <c r="J16" s="56">
        <f t="shared" si="5"/>
        <v>-219.52201515902416</v>
      </c>
      <c r="K16" s="56">
        <f t="shared" si="6"/>
        <v>-10094.969548100315</v>
      </c>
      <c r="L16" s="59">
        <f t="shared" si="6"/>
        <v>-2195.220151590242</v>
      </c>
      <c r="M16" s="1"/>
      <c r="N16" s="1"/>
      <c r="O16" s="1"/>
      <c r="P16" s="1"/>
      <c r="Q16" s="1"/>
    </row>
    <row r="17" spans="1:17" x14ac:dyDescent="0.25">
      <c r="A17" s="4">
        <f t="shared" si="0"/>
        <v>15</v>
      </c>
      <c r="B17" s="66">
        <v>45231</v>
      </c>
      <c r="C17" s="177">
        <v>244543.73</v>
      </c>
      <c r="D17" s="59">
        <f t="shared" si="2"/>
        <v>2462752.62</v>
      </c>
      <c r="E17" s="72">
        <f t="shared" si="1"/>
        <v>5663.2459351310326</v>
      </c>
      <c r="F17" s="56">
        <f t="shared" si="3"/>
        <v>-34033.638605032669</v>
      </c>
      <c r="G17" s="59"/>
      <c r="H17" s="59"/>
      <c r="I17" s="56">
        <f t="shared" si="4"/>
        <v>-1009.4969548100315</v>
      </c>
      <c r="J17" s="56">
        <f t="shared" si="5"/>
        <v>-219.52201515902416</v>
      </c>
      <c r="K17" s="56">
        <f t="shared" si="6"/>
        <v>-11104.466502910345</v>
      </c>
      <c r="L17" s="59">
        <f t="shared" si="6"/>
        <v>-2414.7421667492663</v>
      </c>
      <c r="M17" s="1"/>
      <c r="N17" s="1"/>
      <c r="O17" s="1"/>
      <c r="P17" s="1"/>
      <c r="Q17" s="1"/>
    </row>
    <row r="18" spans="1:17" x14ac:dyDescent="0.25">
      <c r="A18" s="4">
        <f t="shared" si="0"/>
        <v>16</v>
      </c>
      <c r="B18" s="67">
        <v>45261</v>
      </c>
      <c r="C18" s="177">
        <v>217709.37</v>
      </c>
      <c r="D18" s="59">
        <f t="shared" si="2"/>
        <v>2680461.9900000002</v>
      </c>
      <c r="E18" s="72">
        <f t="shared" si="1"/>
        <v>6163.8815632000997</v>
      </c>
      <c r="F18" s="56">
        <f t="shared" si="3"/>
        <v>-40197.520168232768</v>
      </c>
      <c r="G18" s="59"/>
      <c r="H18" s="59"/>
      <c r="I18" s="56">
        <f t="shared" si="4"/>
        <v>-1009.4969548100315</v>
      </c>
      <c r="J18" s="56">
        <f t="shared" si="5"/>
        <v>-219.52201515902416</v>
      </c>
      <c r="K18" s="56">
        <f t="shared" si="6"/>
        <v>-12113.963457720376</v>
      </c>
      <c r="L18" s="59">
        <f t="shared" si="6"/>
        <v>-2634.2641819082905</v>
      </c>
      <c r="M18" s="1"/>
      <c r="N18" s="1"/>
      <c r="O18" s="1"/>
      <c r="P18" s="1"/>
      <c r="Q18" s="1"/>
    </row>
    <row r="19" spans="1:17" x14ac:dyDescent="0.25">
      <c r="A19" s="4">
        <f t="shared" si="0"/>
        <v>17</v>
      </c>
      <c r="B19" s="73" t="s">
        <v>62</v>
      </c>
      <c r="C19" s="73"/>
      <c r="D19" s="74">
        <f>D18</f>
        <v>2680461.9900000002</v>
      </c>
      <c r="E19" s="74">
        <f>SUM(E7:E18)</f>
        <v>40197.520168232768</v>
      </c>
      <c r="F19" s="64">
        <f>F18</f>
        <v>-40197.520168232768</v>
      </c>
      <c r="G19" s="74">
        <f>D19*O6</f>
        <v>100517.32462500001</v>
      </c>
      <c r="H19" s="74">
        <f>E19-G19</f>
        <v>-60319.80445676724</v>
      </c>
      <c r="I19" s="64">
        <f>(H19-J19)*$I$4</f>
        <v>-12113.963457720378</v>
      </c>
      <c r="J19" s="64">
        <f>H19*$J$4</f>
        <v>-2634.2641819082901</v>
      </c>
      <c r="K19" s="64">
        <f>K18</f>
        <v>-12113.963457720376</v>
      </c>
      <c r="L19" s="74">
        <f>L18</f>
        <v>-2634.2641819082905</v>
      </c>
      <c r="M19" s="1"/>
      <c r="N19" s="1"/>
      <c r="O19" s="1"/>
      <c r="P19" s="1"/>
      <c r="Q19" s="1"/>
    </row>
    <row r="20" spans="1:17" x14ac:dyDescent="0.25">
      <c r="A20" s="4">
        <f t="shared" si="0"/>
        <v>18</v>
      </c>
      <c r="B20" s="66">
        <v>45292</v>
      </c>
      <c r="C20" s="66"/>
      <c r="D20" s="59">
        <f>D18+C20</f>
        <v>2680461.9900000002</v>
      </c>
      <c r="E20" s="72">
        <f t="shared" ref="E20:E31" si="7">D20*($P$12/12)</f>
        <v>6163.8815632000997</v>
      </c>
      <c r="F20" s="56">
        <f>F18-E20</f>
        <v>-46361.401731432867</v>
      </c>
      <c r="G20" s="59"/>
      <c r="H20" s="59"/>
      <c r="I20" s="56">
        <f>$I$32/12</f>
        <v>-2000.5237270503824</v>
      </c>
      <c r="J20" s="56">
        <f>$J$32/12</f>
        <v>-435.02756283022478</v>
      </c>
      <c r="K20" s="56">
        <f>K18+I20</f>
        <v>-14114.487184770758</v>
      </c>
      <c r="L20" s="59">
        <f>L18+J20</f>
        <v>-3069.2917447385153</v>
      </c>
      <c r="M20" s="1"/>
      <c r="N20" s="1"/>
      <c r="O20" s="1"/>
      <c r="P20" s="1"/>
      <c r="Q20" s="1"/>
    </row>
    <row r="21" spans="1:17" x14ac:dyDescent="0.25">
      <c r="A21" s="4">
        <f t="shared" si="0"/>
        <v>19</v>
      </c>
      <c r="B21" s="66">
        <v>45323</v>
      </c>
      <c r="C21" s="66"/>
      <c r="D21" s="59">
        <f t="shared" ref="D21:D31" si="8">D19+C21</f>
        <v>2680461.9900000002</v>
      </c>
      <c r="E21" s="72">
        <f t="shared" si="7"/>
        <v>6163.8815632000997</v>
      </c>
      <c r="F21" s="56">
        <f>F20-E21</f>
        <v>-52525.283294632965</v>
      </c>
      <c r="G21" s="59"/>
      <c r="H21" s="59"/>
      <c r="I21" s="56">
        <f t="shared" ref="I21:I31" si="9">$I$32/12</f>
        <v>-2000.5237270503824</v>
      </c>
      <c r="J21" s="56">
        <f t="shared" ref="J21:J31" si="10">$J$32/12</f>
        <v>-435.02756283022478</v>
      </c>
      <c r="K21" s="56">
        <f t="shared" ref="K21:L31" si="11">K20+I21</f>
        <v>-16115.01091182114</v>
      </c>
      <c r="L21" s="59">
        <f t="shared" si="11"/>
        <v>-3504.31930756874</v>
      </c>
      <c r="M21" s="1"/>
      <c r="N21" s="1"/>
      <c r="O21" s="1"/>
      <c r="P21" s="1"/>
      <c r="Q21" s="1"/>
    </row>
    <row r="22" spans="1:17" x14ac:dyDescent="0.25">
      <c r="A22" s="4">
        <f t="shared" si="0"/>
        <v>20</v>
      </c>
      <c r="B22" s="66">
        <v>45352</v>
      </c>
      <c r="C22" s="66"/>
      <c r="D22" s="59">
        <f t="shared" si="8"/>
        <v>2680461.9900000002</v>
      </c>
      <c r="E22" s="72">
        <f t="shared" si="7"/>
        <v>6163.8815632000997</v>
      </c>
      <c r="F22" s="56">
        <f t="shared" ref="F22:F31" si="12">F21-E22</f>
        <v>-58689.164857833064</v>
      </c>
      <c r="G22" s="59"/>
      <c r="H22" s="59"/>
      <c r="I22" s="56">
        <f t="shared" si="9"/>
        <v>-2000.5237270503824</v>
      </c>
      <c r="J22" s="56">
        <f t="shared" si="10"/>
        <v>-435.02756283022478</v>
      </c>
      <c r="K22" s="56">
        <f t="shared" si="11"/>
        <v>-18115.534638871522</v>
      </c>
      <c r="L22" s="59">
        <f t="shared" si="11"/>
        <v>-3939.3468703989647</v>
      </c>
      <c r="M22" s="1"/>
      <c r="N22" s="1"/>
      <c r="O22" s="1"/>
      <c r="P22" s="1"/>
      <c r="Q22" s="1"/>
    </row>
    <row r="23" spans="1:17" x14ac:dyDescent="0.25">
      <c r="A23" s="4">
        <f t="shared" si="0"/>
        <v>21</v>
      </c>
      <c r="B23" s="66">
        <v>45383</v>
      </c>
      <c r="C23" s="66"/>
      <c r="D23" s="59">
        <f t="shared" si="8"/>
        <v>2680461.9900000002</v>
      </c>
      <c r="E23" s="72">
        <f t="shared" si="7"/>
        <v>6163.8815632000997</v>
      </c>
      <c r="F23" s="56">
        <f t="shared" si="12"/>
        <v>-64853.046421033163</v>
      </c>
      <c r="G23" s="59"/>
      <c r="H23" s="59"/>
      <c r="I23" s="56">
        <f t="shared" si="9"/>
        <v>-2000.5237270503824</v>
      </c>
      <c r="J23" s="56">
        <f t="shared" si="10"/>
        <v>-435.02756283022478</v>
      </c>
      <c r="K23" s="56">
        <f t="shared" si="11"/>
        <v>-20116.058365921905</v>
      </c>
      <c r="L23" s="59">
        <f t="shared" si="11"/>
        <v>-4374.3744332291899</v>
      </c>
      <c r="M23" s="1"/>
      <c r="N23" s="1"/>
      <c r="O23" s="1"/>
      <c r="P23" s="1"/>
      <c r="Q23" s="1"/>
    </row>
    <row r="24" spans="1:17" x14ac:dyDescent="0.25">
      <c r="A24" s="4">
        <f t="shared" si="0"/>
        <v>22</v>
      </c>
      <c r="B24" s="66">
        <v>45413</v>
      </c>
      <c r="C24" s="66"/>
      <c r="D24" s="59">
        <f t="shared" si="8"/>
        <v>2680461.9900000002</v>
      </c>
      <c r="E24" s="72">
        <f t="shared" si="7"/>
        <v>6163.8815632000997</v>
      </c>
      <c r="F24" s="56">
        <f t="shared" si="12"/>
        <v>-71016.927984233262</v>
      </c>
      <c r="G24" s="59"/>
      <c r="H24" s="59"/>
      <c r="I24" s="56">
        <f t="shared" si="9"/>
        <v>-2000.5237270503824</v>
      </c>
      <c r="J24" s="56">
        <f t="shared" si="10"/>
        <v>-435.02756283022478</v>
      </c>
      <c r="K24" s="56">
        <f t="shared" si="11"/>
        <v>-22116.582092972287</v>
      </c>
      <c r="L24" s="59">
        <f t="shared" si="11"/>
        <v>-4809.4019960594151</v>
      </c>
      <c r="M24" s="1"/>
      <c r="N24" s="1"/>
      <c r="O24" s="39"/>
      <c r="P24" s="39"/>
      <c r="Q24" s="1"/>
    </row>
    <row r="25" spans="1:17" x14ac:dyDescent="0.25">
      <c r="A25" s="4">
        <f t="shared" si="0"/>
        <v>23</v>
      </c>
      <c r="B25" s="66">
        <v>45444</v>
      </c>
      <c r="C25" s="66"/>
      <c r="D25" s="59">
        <f t="shared" si="8"/>
        <v>2680461.9900000002</v>
      </c>
      <c r="E25" s="72">
        <f t="shared" si="7"/>
        <v>6163.8815632000997</v>
      </c>
      <c r="F25" s="56">
        <f t="shared" si="12"/>
        <v>-77180.809547433368</v>
      </c>
      <c r="G25" s="59"/>
      <c r="H25" s="59"/>
      <c r="I25" s="56">
        <f t="shared" si="9"/>
        <v>-2000.5237270503824</v>
      </c>
      <c r="J25" s="56">
        <f t="shared" si="10"/>
        <v>-435.02756283022478</v>
      </c>
      <c r="K25" s="56">
        <f t="shared" si="11"/>
        <v>-24117.105820022669</v>
      </c>
      <c r="L25" s="59">
        <f t="shared" si="11"/>
        <v>-5244.4295588896402</v>
      </c>
      <c r="M25" s="1"/>
      <c r="N25" s="1"/>
      <c r="O25" s="1"/>
      <c r="P25" s="1"/>
      <c r="Q25" s="1"/>
    </row>
    <row r="26" spans="1:17" x14ac:dyDescent="0.25">
      <c r="A26" s="4">
        <f t="shared" si="0"/>
        <v>24</v>
      </c>
      <c r="B26" s="66">
        <v>45474</v>
      </c>
      <c r="C26" s="66"/>
      <c r="D26" s="59">
        <f t="shared" si="8"/>
        <v>2680461.9900000002</v>
      </c>
      <c r="E26" s="72">
        <f t="shared" si="7"/>
        <v>6163.8815632000997</v>
      </c>
      <c r="F26" s="56">
        <f t="shared" si="12"/>
        <v>-83344.691110633474</v>
      </c>
      <c r="G26" s="59"/>
      <c r="H26" s="59"/>
      <c r="I26" s="56">
        <f t="shared" si="9"/>
        <v>-2000.5237270503824</v>
      </c>
      <c r="J26" s="56">
        <f t="shared" si="10"/>
        <v>-435.02756283022478</v>
      </c>
      <c r="K26" s="56">
        <f t="shared" si="11"/>
        <v>-26117.629547073051</v>
      </c>
      <c r="L26" s="59">
        <f t="shared" si="11"/>
        <v>-5679.4571217198654</v>
      </c>
      <c r="M26" s="1"/>
      <c r="N26" s="1"/>
      <c r="O26" s="1"/>
      <c r="P26" s="1"/>
      <c r="Q26" s="1"/>
    </row>
    <row r="27" spans="1:17" x14ac:dyDescent="0.25">
      <c r="A27" s="4">
        <f t="shared" si="0"/>
        <v>25</v>
      </c>
      <c r="B27" s="66">
        <v>45505</v>
      </c>
      <c r="C27" s="66"/>
      <c r="D27" s="59">
        <f t="shared" si="8"/>
        <v>2680461.9900000002</v>
      </c>
      <c r="E27" s="72">
        <f t="shared" si="7"/>
        <v>6163.8815632000997</v>
      </c>
      <c r="F27" s="56">
        <f t="shared" si="12"/>
        <v>-89508.57267383358</v>
      </c>
      <c r="G27" s="59"/>
      <c r="H27" s="59"/>
      <c r="I27" s="56">
        <f t="shared" si="9"/>
        <v>-2000.5237270503824</v>
      </c>
      <c r="J27" s="56">
        <f t="shared" si="10"/>
        <v>-435.02756283022478</v>
      </c>
      <c r="K27" s="56">
        <f t="shared" si="11"/>
        <v>-28118.153274123433</v>
      </c>
      <c r="L27" s="59">
        <f t="shared" si="11"/>
        <v>-6114.4846845500906</v>
      </c>
      <c r="M27" s="1"/>
      <c r="N27" s="1"/>
      <c r="O27" s="1"/>
      <c r="P27" s="1"/>
      <c r="Q27" s="1"/>
    </row>
    <row r="28" spans="1:17" x14ac:dyDescent="0.25">
      <c r="A28" s="4">
        <f t="shared" si="0"/>
        <v>26</v>
      </c>
      <c r="B28" s="66">
        <v>45536</v>
      </c>
      <c r="C28" s="66"/>
      <c r="D28" s="59">
        <f t="shared" si="8"/>
        <v>2680461.9900000002</v>
      </c>
      <c r="E28" s="72">
        <f t="shared" si="7"/>
        <v>6163.8815632000997</v>
      </c>
      <c r="F28" s="56">
        <f t="shared" si="12"/>
        <v>-95672.454237033686</v>
      </c>
      <c r="G28" s="59"/>
      <c r="H28" s="59"/>
      <c r="I28" s="56">
        <f t="shared" si="9"/>
        <v>-2000.5237270503824</v>
      </c>
      <c r="J28" s="56">
        <f t="shared" si="10"/>
        <v>-435.02756283022478</v>
      </c>
      <c r="K28" s="56">
        <f>K27+I28</f>
        <v>-30118.677001173815</v>
      </c>
      <c r="L28" s="59">
        <f t="shared" si="11"/>
        <v>-6549.5122473803158</v>
      </c>
      <c r="M28" s="1"/>
      <c r="N28" s="1"/>
      <c r="O28" s="1"/>
      <c r="P28" s="1"/>
      <c r="Q28" s="1"/>
    </row>
    <row r="29" spans="1:17" x14ac:dyDescent="0.25">
      <c r="A29" s="4">
        <f t="shared" si="0"/>
        <v>27</v>
      </c>
      <c r="B29" s="66">
        <v>45566</v>
      </c>
      <c r="C29" s="66"/>
      <c r="D29" s="59">
        <f t="shared" si="8"/>
        <v>2680461.9900000002</v>
      </c>
      <c r="E29" s="72">
        <f t="shared" si="7"/>
        <v>6163.8815632000997</v>
      </c>
      <c r="F29" s="56">
        <f t="shared" si="12"/>
        <v>-101836.33580023379</v>
      </c>
      <c r="G29" s="59"/>
      <c r="H29" s="59"/>
      <c r="I29" s="56">
        <f t="shared" si="9"/>
        <v>-2000.5237270503824</v>
      </c>
      <c r="J29" s="56">
        <f t="shared" si="10"/>
        <v>-435.02756283022478</v>
      </c>
      <c r="K29" s="56">
        <f>K28+I29</f>
        <v>-32119.200728224198</v>
      </c>
      <c r="L29" s="59">
        <f>L28+J29</f>
        <v>-6984.539810210541</v>
      </c>
      <c r="M29" s="1"/>
      <c r="N29" s="1"/>
      <c r="O29" s="1"/>
      <c r="P29" s="1"/>
      <c r="Q29" s="1"/>
    </row>
    <row r="30" spans="1:17" x14ac:dyDescent="0.25">
      <c r="A30" s="4">
        <f t="shared" si="0"/>
        <v>28</v>
      </c>
      <c r="B30" s="66">
        <v>45597</v>
      </c>
      <c r="C30" s="66"/>
      <c r="D30" s="59">
        <f t="shared" si="8"/>
        <v>2680461.9900000002</v>
      </c>
      <c r="E30" s="72">
        <f t="shared" si="7"/>
        <v>6163.8815632000997</v>
      </c>
      <c r="F30" s="56">
        <f t="shared" si="12"/>
        <v>-108000.2173634339</v>
      </c>
      <c r="G30" s="59"/>
      <c r="H30" s="59"/>
      <c r="I30" s="56">
        <f t="shared" si="9"/>
        <v>-2000.5237270503824</v>
      </c>
      <c r="J30" s="56">
        <f t="shared" si="10"/>
        <v>-435.02756283022478</v>
      </c>
      <c r="K30" s="56">
        <f t="shared" si="11"/>
        <v>-34119.724455274583</v>
      </c>
      <c r="L30" s="59">
        <f t="shared" si="11"/>
        <v>-7419.5673730407661</v>
      </c>
      <c r="M30" s="1"/>
      <c r="N30" s="1"/>
      <c r="O30" s="1"/>
      <c r="P30" s="1"/>
      <c r="Q30" s="1"/>
    </row>
    <row r="31" spans="1:17" x14ac:dyDescent="0.25">
      <c r="A31" s="4">
        <f t="shared" si="0"/>
        <v>29</v>
      </c>
      <c r="B31" s="66">
        <v>45627</v>
      </c>
      <c r="C31" s="66"/>
      <c r="D31" s="59">
        <f t="shared" si="8"/>
        <v>2680461.9900000002</v>
      </c>
      <c r="E31" s="72">
        <f t="shared" si="7"/>
        <v>6163.8815632000997</v>
      </c>
      <c r="F31" s="56">
        <f t="shared" si="12"/>
        <v>-114164.098926634</v>
      </c>
      <c r="G31" s="59"/>
      <c r="H31" s="59"/>
      <c r="I31" s="56">
        <f t="shared" si="9"/>
        <v>-2000.5237270503824</v>
      </c>
      <c r="J31" s="56">
        <f t="shared" si="10"/>
        <v>-435.02756283022478</v>
      </c>
      <c r="K31" s="56">
        <f t="shared" si="11"/>
        <v>-36120.248182324969</v>
      </c>
      <c r="L31" s="59">
        <f t="shared" si="11"/>
        <v>-7854.5949358709913</v>
      </c>
      <c r="M31" s="274"/>
      <c r="N31" s="274"/>
      <c r="O31" s="274"/>
      <c r="P31" s="274"/>
      <c r="Q31" s="274"/>
    </row>
    <row r="32" spans="1:17" x14ac:dyDescent="0.25">
      <c r="A32" s="4">
        <f t="shared" si="0"/>
        <v>30</v>
      </c>
      <c r="B32" s="73" t="s">
        <v>182</v>
      </c>
      <c r="C32" s="73"/>
      <c r="D32" s="74">
        <f>D31</f>
        <v>2680461.9900000002</v>
      </c>
      <c r="E32" s="74">
        <f>SUM(E20:E31)</f>
        <v>73966.5787584012</v>
      </c>
      <c r="F32" s="64">
        <f>F31</f>
        <v>-114164.098926634</v>
      </c>
      <c r="G32" s="74">
        <f>D32*O7</f>
        <v>193502.55105810004</v>
      </c>
      <c r="H32" s="74">
        <f>E32-G32</f>
        <v>-119535.97229969884</v>
      </c>
      <c r="I32" s="64">
        <f>(H32-J32)*$I$4</f>
        <v>-24006.284724604589</v>
      </c>
      <c r="J32" s="64">
        <f>H32*$J$4</f>
        <v>-5220.3307539626976</v>
      </c>
      <c r="K32" s="64">
        <f>K31</f>
        <v>-36120.248182324969</v>
      </c>
      <c r="L32" s="74">
        <f>L31</f>
        <v>-7854.5949358709913</v>
      </c>
      <c r="M32" s="4"/>
      <c r="N32" s="4"/>
      <c r="O32" s="4"/>
      <c r="P32" s="4"/>
      <c r="Q32" s="4"/>
    </row>
    <row r="33" spans="1:17" x14ac:dyDescent="0.25">
      <c r="A33" s="4">
        <f t="shared" si="0"/>
        <v>31</v>
      </c>
      <c r="B33" s="66">
        <v>45658</v>
      </c>
      <c r="C33" s="66"/>
      <c r="D33" s="59">
        <f>D31+C33</f>
        <v>2680461.9900000002</v>
      </c>
      <c r="E33" s="72">
        <f t="shared" ref="E33:E44" si="13">D33*($P$12/12)</f>
        <v>6163.8815632000997</v>
      </c>
      <c r="F33" s="56">
        <f>F31-E33</f>
        <v>-120327.98048983411</v>
      </c>
      <c r="G33" s="56"/>
      <c r="H33" s="59"/>
      <c r="I33" s="71">
        <f>$I$45/12</f>
        <v>-1757.3850619815964</v>
      </c>
      <c r="J33" s="56">
        <f>$J$45/12</f>
        <v>-382.15539767444278</v>
      </c>
      <c r="K33" s="56">
        <f>K32+I33</f>
        <v>-37877.633244306562</v>
      </c>
      <c r="L33" s="56">
        <f>L32+J33</f>
        <v>-8236.7503335454348</v>
      </c>
      <c r="M33" s="44"/>
      <c r="N33" s="43"/>
      <c r="O33" s="4"/>
      <c r="P33" s="4"/>
      <c r="Q33" s="38"/>
    </row>
    <row r="34" spans="1:17" x14ac:dyDescent="0.25">
      <c r="A34" s="4">
        <f t="shared" si="0"/>
        <v>32</v>
      </c>
      <c r="B34" s="66">
        <v>45689</v>
      </c>
      <c r="C34" s="66"/>
      <c r="D34" s="59">
        <f t="shared" ref="D34:D44" si="14">D32+C34</f>
        <v>2680461.9900000002</v>
      </c>
      <c r="E34" s="72">
        <f t="shared" si="13"/>
        <v>6163.8815632000997</v>
      </c>
      <c r="F34" s="56">
        <f t="shared" ref="F34:F44" si="15">F33-E34</f>
        <v>-126491.86205303422</v>
      </c>
      <c r="G34" s="56"/>
      <c r="H34" s="59"/>
      <c r="I34" s="56">
        <f t="shared" ref="I34:I44" si="16">$I$45/12</f>
        <v>-1757.3850619815964</v>
      </c>
      <c r="J34" s="56">
        <f t="shared" ref="J34:J44" si="17">$J$45/12</f>
        <v>-382.15539767444278</v>
      </c>
      <c r="K34" s="56">
        <f t="shared" ref="K34:L44" si="18">K33+I34</f>
        <v>-39635.018306288155</v>
      </c>
      <c r="L34" s="56">
        <f t="shared" si="18"/>
        <v>-8618.9057312198784</v>
      </c>
      <c r="M34" s="44"/>
      <c r="N34" s="43"/>
      <c r="O34" s="4"/>
      <c r="P34" s="4"/>
      <c r="Q34" s="38"/>
    </row>
    <row r="35" spans="1:17" x14ac:dyDescent="0.25">
      <c r="A35" s="4">
        <f t="shared" si="0"/>
        <v>33</v>
      </c>
      <c r="B35" s="66">
        <v>45717</v>
      </c>
      <c r="C35" s="66"/>
      <c r="D35" s="59">
        <f t="shared" si="14"/>
        <v>2680461.9900000002</v>
      </c>
      <c r="E35" s="72">
        <f t="shared" si="13"/>
        <v>6163.8815632000997</v>
      </c>
      <c r="F35" s="56">
        <f t="shared" si="15"/>
        <v>-132655.74361623431</v>
      </c>
      <c r="G35" s="56"/>
      <c r="H35" s="59"/>
      <c r="I35" s="56">
        <f t="shared" si="16"/>
        <v>-1757.3850619815964</v>
      </c>
      <c r="J35" s="56">
        <f t="shared" si="17"/>
        <v>-382.15539767444278</v>
      </c>
      <c r="K35" s="56">
        <f t="shared" si="18"/>
        <v>-41392.403368269748</v>
      </c>
      <c r="L35" s="56">
        <f t="shared" si="18"/>
        <v>-9001.0611288943219</v>
      </c>
      <c r="M35" s="44"/>
      <c r="N35" s="43"/>
      <c r="O35" s="4"/>
      <c r="P35" s="4"/>
      <c r="Q35" s="38"/>
    </row>
    <row r="36" spans="1:17" x14ac:dyDescent="0.25">
      <c r="A36" s="4">
        <f t="shared" si="0"/>
        <v>34</v>
      </c>
      <c r="B36" s="66">
        <v>45748</v>
      </c>
      <c r="C36" s="66"/>
      <c r="D36" s="59">
        <f t="shared" si="14"/>
        <v>2680461.9900000002</v>
      </c>
      <c r="E36" s="72">
        <f t="shared" si="13"/>
        <v>6163.8815632000997</v>
      </c>
      <c r="F36" s="56">
        <f t="shared" si="15"/>
        <v>-138819.6251794344</v>
      </c>
      <c r="G36" s="56"/>
      <c r="H36" s="59"/>
      <c r="I36" s="56">
        <f t="shared" si="16"/>
        <v>-1757.3850619815964</v>
      </c>
      <c r="J36" s="56">
        <f t="shared" si="17"/>
        <v>-382.15539767444278</v>
      </c>
      <c r="K36" s="56">
        <f t="shared" si="18"/>
        <v>-43149.788430251341</v>
      </c>
      <c r="L36" s="56">
        <f t="shared" si="18"/>
        <v>-9383.2165265687654</v>
      </c>
      <c r="M36" s="44"/>
      <c r="N36" s="43"/>
      <c r="O36" s="4"/>
      <c r="P36" s="4"/>
      <c r="Q36" s="38"/>
    </row>
    <row r="37" spans="1:17" x14ac:dyDescent="0.25">
      <c r="A37" s="4">
        <f t="shared" si="0"/>
        <v>35</v>
      </c>
      <c r="B37" s="66">
        <v>45778</v>
      </c>
      <c r="C37" s="66"/>
      <c r="D37" s="59">
        <f t="shared" si="14"/>
        <v>2680461.9900000002</v>
      </c>
      <c r="E37" s="72">
        <f t="shared" si="13"/>
        <v>6163.8815632000997</v>
      </c>
      <c r="F37" s="56">
        <f t="shared" si="15"/>
        <v>-144983.50674263449</v>
      </c>
      <c r="G37" s="56"/>
      <c r="H37" s="59"/>
      <c r="I37" s="56">
        <f t="shared" si="16"/>
        <v>-1757.3850619815964</v>
      </c>
      <c r="J37" s="56">
        <f t="shared" si="17"/>
        <v>-382.15539767444278</v>
      </c>
      <c r="K37" s="56">
        <f t="shared" si="18"/>
        <v>-44907.173492232934</v>
      </c>
      <c r="L37" s="56">
        <f t="shared" si="18"/>
        <v>-9765.3719242432089</v>
      </c>
      <c r="M37" s="44"/>
      <c r="N37" s="43"/>
      <c r="O37" s="4"/>
      <c r="P37" s="4"/>
      <c r="Q37" s="38"/>
    </row>
    <row r="38" spans="1:17" x14ac:dyDescent="0.25">
      <c r="A38" s="4">
        <f t="shared" si="0"/>
        <v>36</v>
      </c>
      <c r="B38" s="66">
        <v>45809</v>
      </c>
      <c r="C38" s="66"/>
      <c r="D38" s="59">
        <f t="shared" si="14"/>
        <v>2680461.9900000002</v>
      </c>
      <c r="E38" s="72">
        <f t="shared" si="13"/>
        <v>6163.8815632000997</v>
      </c>
      <c r="F38" s="56">
        <f t="shared" si="15"/>
        <v>-151147.38830583458</v>
      </c>
      <c r="G38" s="56"/>
      <c r="H38" s="59"/>
      <c r="I38" s="56">
        <f t="shared" si="16"/>
        <v>-1757.3850619815964</v>
      </c>
      <c r="J38" s="56">
        <f t="shared" si="17"/>
        <v>-382.15539767444278</v>
      </c>
      <c r="K38" s="56">
        <f t="shared" si="18"/>
        <v>-46664.558554214527</v>
      </c>
      <c r="L38" s="56">
        <f t="shared" si="18"/>
        <v>-10147.527321917652</v>
      </c>
      <c r="M38" s="44"/>
      <c r="N38" s="43"/>
      <c r="O38" s="4"/>
      <c r="P38" s="4"/>
      <c r="Q38" s="38"/>
    </row>
    <row r="39" spans="1:17" x14ac:dyDescent="0.25">
      <c r="A39" s="4">
        <f t="shared" si="0"/>
        <v>37</v>
      </c>
      <c r="B39" s="66">
        <v>45839</v>
      </c>
      <c r="C39" s="66"/>
      <c r="D39" s="59">
        <f t="shared" si="14"/>
        <v>2680461.9900000002</v>
      </c>
      <c r="E39" s="72">
        <f t="shared" si="13"/>
        <v>6163.8815632000997</v>
      </c>
      <c r="F39" s="56">
        <f t="shared" si="15"/>
        <v>-157311.26986903467</v>
      </c>
      <c r="G39" s="56"/>
      <c r="H39" s="59"/>
      <c r="I39" s="56">
        <f t="shared" si="16"/>
        <v>-1757.3850619815964</v>
      </c>
      <c r="J39" s="56">
        <f t="shared" si="17"/>
        <v>-382.15539767444278</v>
      </c>
      <c r="K39" s="56">
        <f t="shared" si="18"/>
        <v>-48421.94361619612</v>
      </c>
      <c r="L39" s="56">
        <f t="shared" si="18"/>
        <v>-10529.682719592096</v>
      </c>
      <c r="M39" s="44"/>
      <c r="N39" s="43"/>
      <c r="O39" s="4"/>
      <c r="P39" s="4"/>
      <c r="Q39" s="38"/>
    </row>
    <row r="40" spans="1:17" x14ac:dyDescent="0.25">
      <c r="A40" s="4">
        <f t="shared" si="0"/>
        <v>38</v>
      </c>
      <c r="B40" s="66">
        <v>45870</v>
      </c>
      <c r="C40" s="66"/>
      <c r="D40" s="59">
        <f t="shared" si="14"/>
        <v>2680461.9900000002</v>
      </c>
      <c r="E40" s="72">
        <f t="shared" si="13"/>
        <v>6163.8815632000997</v>
      </c>
      <c r="F40" s="56">
        <f t="shared" si="15"/>
        <v>-163475.15143223476</v>
      </c>
      <c r="G40" s="56"/>
      <c r="H40" s="59"/>
      <c r="I40" s="56">
        <f t="shared" si="16"/>
        <v>-1757.3850619815964</v>
      </c>
      <c r="J40" s="56">
        <f t="shared" si="17"/>
        <v>-382.15539767444278</v>
      </c>
      <c r="K40" s="56">
        <f t="shared" si="18"/>
        <v>-50179.328678177713</v>
      </c>
      <c r="L40" s="56">
        <f t="shared" si="18"/>
        <v>-10911.838117266539</v>
      </c>
      <c r="M40" s="44"/>
      <c r="N40" s="43"/>
      <c r="O40" s="4"/>
      <c r="P40" s="4"/>
      <c r="Q40" s="38"/>
    </row>
    <row r="41" spans="1:17" x14ac:dyDescent="0.25">
      <c r="A41" s="4">
        <f t="shared" si="0"/>
        <v>39</v>
      </c>
      <c r="B41" s="66">
        <v>45901</v>
      </c>
      <c r="C41" s="66"/>
      <c r="D41" s="59">
        <f t="shared" si="14"/>
        <v>2680461.9900000002</v>
      </c>
      <c r="E41" s="72">
        <f t="shared" si="13"/>
        <v>6163.8815632000997</v>
      </c>
      <c r="F41" s="56">
        <f t="shared" si="15"/>
        <v>-169639.03299543486</v>
      </c>
      <c r="G41" s="56"/>
      <c r="H41" s="59"/>
      <c r="I41" s="56">
        <f t="shared" si="16"/>
        <v>-1757.3850619815964</v>
      </c>
      <c r="J41" s="56">
        <f t="shared" si="17"/>
        <v>-382.15539767444278</v>
      </c>
      <c r="K41" s="56">
        <f t="shared" si="18"/>
        <v>-51936.713740159306</v>
      </c>
      <c r="L41" s="56">
        <f t="shared" si="18"/>
        <v>-11293.993514940983</v>
      </c>
      <c r="M41" s="44"/>
      <c r="N41" s="43"/>
      <c r="O41" s="4"/>
      <c r="P41" s="4"/>
      <c r="Q41" s="38"/>
    </row>
    <row r="42" spans="1:17" x14ac:dyDescent="0.25">
      <c r="A42" s="4">
        <f t="shared" si="0"/>
        <v>40</v>
      </c>
      <c r="B42" s="66">
        <v>45931</v>
      </c>
      <c r="C42" s="66"/>
      <c r="D42" s="59">
        <f t="shared" si="14"/>
        <v>2680461.9900000002</v>
      </c>
      <c r="E42" s="72">
        <f t="shared" si="13"/>
        <v>6163.8815632000997</v>
      </c>
      <c r="F42" s="56">
        <f t="shared" si="15"/>
        <v>-175802.91455863495</v>
      </c>
      <c r="G42" s="56"/>
      <c r="H42" s="59"/>
      <c r="I42" s="56">
        <f t="shared" si="16"/>
        <v>-1757.3850619815964</v>
      </c>
      <c r="J42" s="56">
        <f t="shared" si="17"/>
        <v>-382.15539767444278</v>
      </c>
      <c r="K42" s="56">
        <f t="shared" si="18"/>
        <v>-53694.098802140899</v>
      </c>
      <c r="L42" s="56">
        <f t="shared" si="18"/>
        <v>-11676.148912615427</v>
      </c>
      <c r="M42" s="44"/>
      <c r="N42" s="43"/>
      <c r="O42" s="4"/>
      <c r="P42" s="4"/>
      <c r="Q42" s="38"/>
    </row>
    <row r="43" spans="1:17" x14ac:dyDescent="0.25">
      <c r="A43" s="4">
        <f t="shared" si="0"/>
        <v>41</v>
      </c>
      <c r="B43" s="66">
        <v>45962</v>
      </c>
      <c r="C43" s="66"/>
      <c r="D43" s="59">
        <f t="shared" si="14"/>
        <v>2680461.9900000002</v>
      </c>
      <c r="E43" s="72">
        <f t="shared" si="13"/>
        <v>6163.8815632000997</v>
      </c>
      <c r="F43" s="56">
        <f t="shared" si="15"/>
        <v>-181966.79612183504</v>
      </c>
      <c r="G43" s="56"/>
      <c r="H43" s="59"/>
      <c r="I43" s="56">
        <f t="shared" si="16"/>
        <v>-1757.3850619815964</v>
      </c>
      <c r="J43" s="56">
        <f t="shared" si="17"/>
        <v>-382.15539767444278</v>
      </c>
      <c r="K43" s="56">
        <f t="shared" si="18"/>
        <v>-55451.483864122492</v>
      </c>
      <c r="L43" s="56">
        <f t="shared" si="18"/>
        <v>-12058.30431028987</v>
      </c>
      <c r="M43" s="44"/>
      <c r="N43" s="43"/>
      <c r="O43" s="4"/>
      <c r="P43" s="4"/>
      <c r="Q43" s="38"/>
    </row>
    <row r="44" spans="1:17" x14ac:dyDescent="0.25">
      <c r="A44" s="4">
        <f t="shared" si="0"/>
        <v>42</v>
      </c>
      <c r="B44" s="66">
        <v>45992</v>
      </c>
      <c r="C44" s="67"/>
      <c r="D44" s="59">
        <f t="shared" si="14"/>
        <v>2680461.9900000002</v>
      </c>
      <c r="E44" s="72">
        <f t="shared" si="13"/>
        <v>6163.8815632000997</v>
      </c>
      <c r="F44" s="56">
        <f t="shared" si="15"/>
        <v>-188130.67768503513</v>
      </c>
      <c r="G44" s="57"/>
      <c r="H44" s="60"/>
      <c r="I44" s="57">
        <f t="shared" si="16"/>
        <v>-1757.3850619815964</v>
      </c>
      <c r="J44" s="57">
        <f t="shared" si="17"/>
        <v>-382.15539767444278</v>
      </c>
      <c r="K44" s="57">
        <f t="shared" si="18"/>
        <v>-57208.868926104085</v>
      </c>
      <c r="L44" s="57">
        <f t="shared" si="18"/>
        <v>-12440.459707964314</v>
      </c>
      <c r="M44" s="275" t="s">
        <v>194</v>
      </c>
      <c r="N44" s="276"/>
      <c r="O44" s="276"/>
      <c r="P44" s="276"/>
      <c r="Q44" s="277"/>
    </row>
    <row r="45" spans="1:17" x14ac:dyDescent="0.25">
      <c r="A45" s="4">
        <f t="shared" si="0"/>
        <v>43</v>
      </c>
      <c r="B45" s="73" t="s">
        <v>183</v>
      </c>
      <c r="C45" s="67"/>
      <c r="D45" s="74">
        <f>D44</f>
        <v>2680461.9900000002</v>
      </c>
      <c r="E45" s="74">
        <f>SUM(E33:E44)</f>
        <v>73966.5787584012</v>
      </c>
      <c r="F45" s="64">
        <f>F44</f>
        <v>-188130.67768503513</v>
      </c>
      <c r="G45" s="57">
        <f>$D$45*O8</f>
        <v>178974.44707230001</v>
      </c>
      <c r="H45" s="60">
        <f>E45-G45</f>
        <v>-105007.86831389881</v>
      </c>
      <c r="I45" s="56">
        <f>(H45-J45)*$I$4</f>
        <v>-21088.620743779156</v>
      </c>
      <c r="J45" s="64">
        <f>H45*$J$4</f>
        <v>-4585.8647720933131</v>
      </c>
      <c r="K45" s="57">
        <f>K44</f>
        <v>-57208.868926104085</v>
      </c>
      <c r="L45" s="57">
        <f>L44</f>
        <v>-12440.459707964314</v>
      </c>
      <c r="M45" s="178" t="s">
        <v>61</v>
      </c>
      <c r="N45" s="178" t="s">
        <v>51</v>
      </c>
      <c r="O45" s="55" t="s">
        <v>60</v>
      </c>
      <c r="P45" s="55">
        <v>365</v>
      </c>
      <c r="Q45" s="179" t="s">
        <v>59</v>
      </c>
    </row>
    <row r="46" spans="1:17" x14ac:dyDescent="0.25">
      <c r="A46" s="4">
        <f t="shared" si="0"/>
        <v>44</v>
      </c>
      <c r="B46" s="66">
        <v>46023</v>
      </c>
      <c r="C46" s="66"/>
      <c r="D46" s="59">
        <f>D44+C46</f>
        <v>2680461.9900000002</v>
      </c>
      <c r="E46" s="72">
        <f t="shared" ref="E46:E57" si="19">D46*($P$13/12)</f>
        <v>6790.5037080000002</v>
      </c>
      <c r="F46" s="56">
        <f>F44-E46</f>
        <v>-194921.18139303513</v>
      </c>
      <c r="G46" s="56"/>
      <c r="H46" s="180"/>
      <c r="I46" s="71">
        <f>$I$58/12</f>
        <v>-1407.2435282671233</v>
      </c>
      <c r="J46" s="63">
        <f>$J$58/12</f>
        <v>-306.01472711012514</v>
      </c>
      <c r="K46" s="56">
        <f>K44+M46</f>
        <v>-58500.448602732817</v>
      </c>
      <c r="L46" s="56">
        <f>L44+N46</f>
        <v>-12721.322539695524</v>
      </c>
      <c r="M46" s="56">
        <f>(I46*Q46)</f>
        <v>-1291.5796766287297</v>
      </c>
      <c r="N46" s="59">
        <f t="shared" ref="N46:N57" si="20">J46*Q46</f>
        <v>-280.86283173121075</v>
      </c>
      <c r="O46" s="52">
        <v>31</v>
      </c>
      <c r="P46" s="52">
        <f>P45-$O$46+1</f>
        <v>335</v>
      </c>
      <c r="Q46" s="51">
        <f>P46/$P$45</f>
        <v>0.9178082191780822</v>
      </c>
    </row>
    <row r="47" spans="1:17" x14ac:dyDescent="0.25">
      <c r="A47" s="4">
        <f t="shared" si="0"/>
        <v>45</v>
      </c>
      <c r="B47" s="66">
        <v>46054</v>
      </c>
      <c r="C47" s="66"/>
      <c r="D47" s="59">
        <f t="shared" ref="D47:D57" si="21">D45+C47</f>
        <v>2680461.9900000002</v>
      </c>
      <c r="E47" s="72">
        <f t="shared" si="19"/>
        <v>6790.5037080000002</v>
      </c>
      <c r="F47" s="56">
        <f t="shared" ref="F47:F57" si="22">F46-E47</f>
        <v>-201711.68510103514</v>
      </c>
      <c r="G47" s="56"/>
      <c r="H47" s="180"/>
      <c r="I47" s="56">
        <f t="shared" ref="I47:I57" si="23">$I$58/12</f>
        <v>-1407.2435282671233</v>
      </c>
      <c r="J47" s="63">
        <f t="shared" ref="J47:J57" si="24">$J$58/12</f>
        <v>-306.01472711012514</v>
      </c>
      <c r="K47" s="56">
        <f t="shared" ref="K47:L57" si="25">K46+M47</f>
        <v>-59684.075351165709</v>
      </c>
      <c r="L47" s="56">
        <f t="shared" si="25"/>
        <v>-12978.710269073081</v>
      </c>
      <c r="M47" s="56">
        <f t="shared" ref="M47:M57" si="26">I47*Q47</f>
        <v>-1183.6267484328955</v>
      </c>
      <c r="N47" s="59">
        <f t="shared" si="20"/>
        <v>-257.38772937755732</v>
      </c>
      <c r="O47" s="52">
        <v>28</v>
      </c>
      <c r="P47" s="52">
        <f>P46-O47</f>
        <v>307</v>
      </c>
      <c r="Q47" s="51">
        <f t="shared" ref="Q47:Q57" si="27">P47/$P$45</f>
        <v>0.84109589041095889</v>
      </c>
    </row>
    <row r="48" spans="1:17" x14ac:dyDescent="0.25">
      <c r="A48" s="4">
        <f t="shared" si="0"/>
        <v>46</v>
      </c>
      <c r="B48" s="66">
        <v>46082</v>
      </c>
      <c r="C48" s="66"/>
      <c r="D48" s="59">
        <f t="shared" si="21"/>
        <v>2680461.9900000002</v>
      </c>
      <c r="E48" s="72">
        <f t="shared" si="19"/>
        <v>6790.5037080000002</v>
      </c>
      <c r="F48" s="56">
        <f t="shared" si="22"/>
        <v>-208502.18880903514</v>
      </c>
      <c r="G48" s="56"/>
      <c r="H48" s="180"/>
      <c r="I48" s="56">
        <f t="shared" si="23"/>
        <v>-1407.2435282671233</v>
      </c>
      <c r="J48" s="63">
        <f t="shared" si="24"/>
        <v>-306.01472711012514</v>
      </c>
      <c r="K48" s="56">
        <f t="shared" si="25"/>
        <v>-60748.182786238933</v>
      </c>
      <c r="L48" s="56">
        <f t="shared" si="25"/>
        <v>-13210.107706559093</v>
      </c>
      <c r="M48" s="56">
        <f t="shared" si="26"/>
        <v>-1064.107435073222</v>
      </c>
      <c r="N48" s="59">
        <f t="shared" si="20"/>
        <v>-231.39743748601242</v>
      </c>
      <c r="O48" s="52">
        <v>31</v>
      </c>
      <c r="P48" s="52">
        <f t="shared" ref="P48:P57" si="28">P47-O48</f>
        <v>276</v>
      </c>
      <c r="Q48" s="51">
        <f t="shared" si="27"/>
        <v>0.75616438356164384</v>
      </c>
    </row>
    <row r="49" spans="1:17" x14ac:dyDescent="0.25">
      <c r="A49" s="4">
        <f t="shared" si="0"/>
        <v>47</v>
      </c>
      <c r="B49" s="66">
        <v>46113</v>
      </c>
      <c r="C49" s="66"/>
      <c r="D49" s="59">
        <f t="shared" si="21"/>
        <v>2680461.9900000002</v>
      </c>
      <c r="E49" s="72">
        <f t="shared" si="19"/>
        <v>6790.5037080000002</v>
      </c>
      <c r="F49" s="56">
        <f t="shared" si="22"/>
        <v>-215292.69251703515</v>
      </c>
      <c r="G49" s="56"/>
      <c r="H49" s="180"/>
      <c r="I49" s="56">
        <f t="shared" si="23"/>
        <v>-1407.2435282671233</v>
      </c>
      <c r="J49" s="63">
        <f t="shared" si="24"/>
        <v>-306.01472711012514</v>
      </c>
      <c r="K49" s="56">
        <f t="shared" si="25"/>
        <v>-61696.626369673759</v>
      </c>
      <c r="L49" s="56">
        <f t="shared" si="25"/>
        <v>-13416.35324866619</v>
      </c>
      <c r="M49" s="56">
        <f t="shared" si="26"/>
        <v>-948.44358343482838</v>
      </c>
      <c r="N49" s="59">
        <f t="shared" si="20"/>
        <v>-206.24554210709803</v>
      </c>
      <c r="O49" s="52">
        <v>30</v>
      </c>
      <c r="P49" s="52">
        <f t="shared" si="28"/>
        <v>246</v>
      </c>
      <c r="Q49" s="51">
        <f t="shared" si="27"/>
        <v>0.67397260273972603</v>
      </c>
    </row>
    <row r="50" spans="1:17" x14ac:dyDescent="0.25">
      <c r="A50" s="4">
        <f t="shared" si="0"/>
        <v>48</v>
      </c>
      <c r="B50" s="66">
        <v>46143</v>
      </c>
      <c r="C50" s="66"/>
      <c r="D50" s="59">
        <f t="shared" si="21"/>
        <v>2680461.9900000002</v>
      </c>
      <c r="E50" s="72">
        <f t="shared" si="19"/>
        <v>6790.5037080000002</v>
      </c>
      <c r="F50" s="56">
        <f t="shared" si="22"/>
        <v>-222083.19622503515</v>
      </c>
      <c r="G50" s="56"/>
      <c r="H50" s="180"/>
      <c r="I50" s="56">
        <f t="shared" si="23"/>
        <v>-1407.2435282671233</v>
      </c>
      <c r="J50" s="63">
        <f t="shared" si="24"/>
        <v>-306.01472711012514</v>
      </c>
      <c r="K50" s="56">
        <f t="shared" si="25"/>
        <v>-62525.550639748915</v>
      </c>
      <c r="L50" s="56">
        <f t="shared" si="25"/>
        <v>-13596.608498881744</v>
      </c>
      <c r="M50" s="56">
        <f t="shared" si="26"/>
        <v>-828.92427007515482</v>
      </c>
      <c r="N50" s="59">
        <f t="shared" si="20"/>
        <v>-180.25525021555316</v>
      </c>
      <c r="O50" s="52">
        <v>31</v>
      </c>
      <c r="P50" s="52">
        <f t="shared" si="28"/>
        <v>215</v>
      </c>
      <c r="Q50" s="51">
        <f t="shared" si="27"/>
        <v>0.58904109589041098</v>
      </c>
    </row>
    <row r="51" spans="1:17" x14ac:dyDescent="0.25">
      <c r="A51" s="4">
        <f t="shared" si="0"/>
        <v>49</v>
      </c>
      <c r="B51" s="66">
        <v>46174</v>
      </c>
      <c r="C51" s="66"/>
      <c r="D51" s="59">
        <f t="shared" si="21"/>
        <v>2680461.9900000002</v>
      </c>
      <c r="E51" s="72">
        <f t="shared" si="19"/>
        <v>6790.5037080000002</v>
      </c>
      <c r="F51" s="56">
        <f t="shared" si="22"/>
        <v>-228873.69993303515</v>
      </c>
      <c r="G51" s="56"/>
      <c r="H51" s="180"/>
      <c r="I51" s="56">
        <f t="shared" si="23"/>
        <v>-1407.2435282671233</v>
      </c>
      <c r="J51" s="63">
        <f t="shared" si="24"/>
        <v>-306.01472711012514</v>
      </c>
      <c r="K51" s="56">
        <f t="shared" si="25"/>
        <v>-63238.811058185674</v>
      </c>
      <c r="L51" s="56">
        <f t="shared" si="25"/>
        <v>-13751.711853718383</v>
      </c>
      <c r="M51" s="56">
        <f t="shared" si="26"/>
        <v>-713.26041843676114</v>
      </c>
      <c r="N51" s="59">
        <f t="shared" si="20"/>
        <v>-155.10335483663877</v>
      </c>
      <c r="O51" s="52">
        <v>30</v>
      </c>
      <c r="P51" s="52">
        <f t="shared" si="28"/>
        <v>185</v>
      </c>
      <c r="Q51" s="51">
        <f t="shared" si="27"/>
        <v>0.50684931506849318</v>
      </c>
    </row>
    <row r="52" spans="1:17" x14ac:dyDescent="0.25">
      <c r="A52" s="4">
        <f t="shared" si="0"/>
        <v>50</v>
      </c>
      <c r="B52" s="66">
        <v>46204</v>
      </c>
      <c r="C52" s="66"/>
      <c r="D52" s="59">
        <f t="shared" si="21"/>
        <v>2680461.9900000002</v>
      </c>
      <c r="E52" s="72">
        <f t="shared" si="19"/>
        <v>6790.5037080000002</v>
      </c>
      <c r="F52" s="56">
        <f t="shared" si="22"/>
        <v>-235664.20364103516</v>
      </c>
      <c r="G52" s="56"/>
      <c r="H52" s="180"/>
      <c r="I52" s="56">
        <f t="shared" si="23"/>
        <v>-1407.2435282671233</v>
      </c>
      <c r="J52" s="63">
        <f t="shared" si="24"/>
        <v>-306.01472711012514</v>
      </c>
      <c r="K52" s="56">
        <f t="shared" si="25"/>
        <v>-63832.552163262764</v>
      </c>
      <c r="L52" s="56">
        <f t="shared" si="25"/>
        <v>-13880.824916663478</v>
      </c>
      <c r="M52" s="56">
        <f t="shared" si="26"/>
        <v>-593.74110507708758</v>
      </c>
      <c r="N52" s="59">
        <f t="shared" si="20"/>
        <v>-129.1130629450939</v>
      </c>
      <c r="O52" s="52">
        <v>31</v>
      </c>
      <c r="P52" s="52">
        <f t="shared" si="28"/>
        <v>154</v>
      </c>
      <c r="Q52" s="51">
        <f t="shared" si="27"/>
        <v>0.42191780821917807</v>
      </c>
    </row>
    <row r="53" spans="1:17" x14ac:dyDescent="0.25">
      <c r="A53" s="4">
        <f t="shared" si="0"/>
        <v>51</v>
      </c>
      <c r="B53" s="66">
        <v>46235</v>
      </c>
      <c r="C53" s="66"/>
      <c r="D53" s="59">
        <f t="shared" si="21"/>
        <v>2680461.9900000002</v>
      </c>
      <c r="E53" s="72">
        <f t="shared" si="19"/>
        <v>6790.5037080000002</v>
      </c>
      <c r="F53" s="56">
        <f t="shared" si="22"/>
        <v>-242454.70734903516</v>
      </c>
      <c r="G53" s="56"/>
      <c r="H53" s="180"/>
      <c r="I53" s="56">
        <f t="shared" si="23"/>
        <v>-1407.2435282671233</v>
      </c>
      <c r="J53" s="63">
        <f t="shared" si="24"/>
        <v>-306.01472711012514</v>
      </c>
      <c r="K53" s="56">
        <f t="shared" si="25"/>
        <v>-64306.773954980177</v>
      </c>
      <c r="L53" s="56">
        <f t="shared" si="25"/>
        <v>-13983.947687717027</v>
      </c>
      <c r="M53" s="56">
        <f t="shared" si="26"/>
        <v>-474.22179171741419</v>
      </c>
      <c r="N53" s="59">
        <f t="shared" si="20"/>
        <v>-103.12277105354902</v>
      </c>
      <c r="O53" s="52">
        <v>31</v>
      </c>
      <c r="P53" s="52">
        <f t="shared" si="28"/>
        <v>123</v>
      </c>
      <c r="Q53" s="51">
        <f t="shared" si="27"/>
        <v>0.33698630136986302</v>
      </c>
    </row>
    <row r="54" spans="1:17" x14ac:dyDescent="0.25">
      <c r="A54" s="4">
        <f t="shared" si="0"/>
        <v>52</v>
      </c>
      <c r="B54" s="66">
        <v>46266</v>
      </c>
      <c r="C54" s="66"/>
      <c r="D54" s="59">
        <f t="shared" si="21"/>
        <v>2680461.9900000002</v>
      </c>
      <c r="E54" s="72">
        <f t="shared" si="19"/>
        <v>6790.5037080000002</v>
      </c>
      <c r="F54" s="56">
        <f t="shared" si="22"/>
        <v>-249245.21105703517</v>
      </c>
      <c r="G54" s="56"/>
      <c r="H54" s="180"/>
      <c r="I54" s="56">
        <f t="shared" si="23"/>
        <v>-1407.2435282671233</v>
      </c>
      <c r="J54" s="63">
        <f t="shared" si="24"/>
        <v>-306.01472711012514</v>
      </c>
      <c r="K54" s="56">
        <f t="shared" si="25"/>
        <v>-64665.3318950592</v>
      </c>
      <c r="L54" s="56">
        <f t="shared" si="25"/>
        <v>-14061.918563391662</v>
      </c>
      <c r="M54" s="56">
        <f t="shared" si="26"/>
        <v>-358.55794007902045</v>
      </c>
      <c r="N54" s="59">
        <f t="shared" si="20"/>
        <v>-77.970875674634627</v>
      </c>
      <c r="O54" s="52">
        <v>30</v>
      </c>
      <c r="P54" s="52">
        <f t="shared" si="28"/>
        <v>93</v>
      </c>
      <c r="Q54" s="51">
        <f t="shared" si="27"/>
        <v>0.25479452054794521</v>
      </c>
    </row>
    <row r="55" spans="1:17" x14ac:dyDescent="0.25">
      <c r="A55" s="4">
        <f t="shared" si="0"/>
        <v>53</v>
      </c>
      <c r="B55" s="66">
        <v>46296</v>
      </c>
      <c r="C55" s="66"/>
      <c r="D55" s="59">
        <f t="shared" si="21"/>
        <v>2680461.9900000002</v>
      </c>
      <c r="E55" s="72">
        <f t="shared" si="19"/>
        <v>6790.5037080000002</v>
      </c>
      <c r="F55" s="56">
        <f t="shared" si="22"/>
        <v>-256035.71476503517</v>
      </c>
      <c r="G55" s="56"/>
      <c r="H55" s="180"/>
      <c r="I55" s="56">
        <f t="shared" si="23"/>
        <v>-1407.2435282671233</v>
      </c>
      <c r="J55" s="63">
        <f t="shared" si="24"/>
        <v>-306.01472711012514</v>
      </c>
      <c r="K55" s="56">
        <f t="shared" si="25"/>
        <v>-64904.370521778546</v>
      </c>
      <c r="L55" s="56">
        <f t="shared" si="25"/>
        <v>-14113.899147174752</v>
      </c>
      <c r="M55" s="56">
        <f t="shared" si="26"/>
        <v>-239.03862671934698</v>
      </c>
      <c r="N55" s="59">
        <f t="shared" si="20"/>
        <v>-51.980583783089749</v>
      </c>
      <c r="O55" s="52">
        <v>31</v>
      </c>
      <c r="P55" s="52">
        <f t="shared" si="28"/>
        <v>62</v>
      </c>
      <c r="Q55" s="51">
        <f t="shared" si="27"/>
        <v>0.16986301369863013</v>
      </c>
    </row>
    <row r="56" spans="1:17" x14ac:dyDescent="0.25">
      <c r="A56" s="4">
        <f t="shared" si="0"/>
        <v>54</v>
      </c>
      <c r="B56" s="66">
        <v>46327</v>
      </c>
      <c r="C56" s="66"/>
      <c r="D56" s="59">
        <f t="shared" si="21"/>
        <v>2680461.9900000002</v>
      </c>
      <c r="E56" s="72">
        <f t="shared" si="19"/>
        <v>6790.5037080000002</v>
      </c>
      <c r="F56" s="56">
        <f t="shared" si="22"/>
        <v>-262826.21847303514</v>
      </c>
      <c r="G56" s="56"/>
      <c r="H56" s="180"/>
      <c r="I56" s="56">
        <f t="shared" si="23"/>
        <v>-1407.2435282671233</v>
      </c>
      <c r="J56" s="63">
        <f t="shared" si="24"/>
        <v>-306.01472711012514</v>
      </c>
      <c r="K56" s="56">
        <f t="shared" si="25"/>
        <v>-65027.745296859503</v>
      </c>
      <c r="L56" s="56">
        <f t="shared" si="25"/>
        <v>-14140.727835578928</v>
      </c>
      <c r="M56" s="56">
        <f t="shared" si="26"/>
        <v>-123.37477508095328</v>
      </c>
      <c r="N56" s="59">
        <f t="shared" si="20"/>
        <v>-26.828688404175356</v>
      </c>
      <c r="O56" s="52">
        <v>30</v>
      </c>
      <c r="P56" s="52">
        <f t="shared" si="28"/>
        <v>32</v>
      </c>
      <c r="Q56" s="51">
        <f t="shared" si="27"/>
        <v>8.7671232876712329E-2</v>
      </c>
    </row>
    <row r="57" spans="1:17" x14ac:dyDescent="0.25">
      <c r="A57" s="4">
        <f t="shared" si="0"/>
        <v>55</v>
      </c>
      <c r="B57" s="66">
        <v>46357</v>
      </c>
      <c r="C57" s="67"/>
      <c r="D57" s="59">
        <f t="shared" si="21"/>
        <v>2680461.9900000002</v>
      </c>
      <c r="E57" s="72">
        <f t="shared" si="19"/>
        <v>6790.5037080000002</v>
      </c>
      <c r="F57" s="56">
        <f t="shared" si="22"/>
        <v>-269616.72218103515</v>
      </c>
      <c r="G57" s="57"/>
      <c r="H57" s="181"/>
      <c r="I57" s="57">
        <f t="shared" si="23"/>
        <v>-1407.2435282671233</v>
      </c>
      <c r="J57" s="63">
        <f t="shared" si="24"/>
        <v>-306.01472711012514</v>
      </c>
      <c r="K57" s="57">
        <f t="shared" si="25"/>
        <v>-65031.600758580782</v>
      </c>
      <c r="L57" s="57">
        <f t="shared" si="25"/>
        <v>-14141.566232091558</v>
      </c>
      <c r="M57" s="57">
        <f t="shared" si="26"/>
        <v>-3.8554617212797901</v>
      </c>
      <c r="N57" s="60">
        <f t="shared" si="20"/>
        <v>-0.83839651263047987</v>
      </c>
      <c r="O57" s="53">
        <v>31</v>
      </c>
      <c r="P57" s="53">
        <f t="shared" si="28"/>
        <v>1</v>
      </c>
      <c r="Q57" s="51">
        <f t="shared" si="27"/>
        <v>2.7397260273972603E-3</v>
      </c>
    </row>
    <row r="58" spans="1:17" x14ac:dyDescent="0.25">
      <c r="A58" s="4">
        <f t="shared" si="0"/>
        <v>56</v>
      </c>
      <c r="B58" s="73" t="s">
        <v>184</v>
      </c>
      <c r="C58" s="67"/>
      <c r="D58" s="74">
        <f>D57</f>
        <v>2680461.9900000002</v>
      </c>
      <c r="E58" s="74">
        <f>SUM(E46:E57)</f>
        <v>81486.044496000031</v>
      </c>
      <c r="F58" s="64">
        <f>F57</f>
        <v>-269616.72218103515</v>
      </c>
      <c r="G58" s="57">
        <f>D58*O9</f>
        <v>165572.13712230002</v>
      </c>
      <c r="H58" s="60">
        <f>E58-G58</f>
        <v>-84086.092626299986</v>
      </c>
      <c r="I58" s="57">
        <f>(H58-J58)*$I$4</f>
        <v>-16886.922339205481</v>
      </c>
      <c r="J58" s="64">
        <f>H58*$J$4</f>
        <v>-3672.1767253215016</v>
      </c>
      <c r="K58" s="57">
        <f>K57</f>
        <v>-65031.600758580782</v>
      </c>
      <c r="L58" s="57">
        <f>L57</f>
        <v>-14141.566232091558</v>
      </c>
      <c r="M58" s="57">
        <f>SUM(M46:M57)</f>
        <v>-7822.7318324766929</v>
      </c>
      <c r="N58" s="57">
        <f>SUM(N46:N57)</f>
        <v>-1701.1065241272438</v>
      </c>
      <c r="O58" s="53"/>
      <c r="P58" s="53"/>
      <c r="Q58" s="75"/>
    </row>
    <row r="59" spans="1:17" x14ac:dyDescent="0.25">
      <c r="A59" s="4">
        <v>57</v>
      </c>
      <c r="B59" s="68" t="s">
        <v>195</v>
      </c>
      <c r="C59" s="68"/>
      <c r="D59" s="64">
        <f>-AVERAGE(D44,D46:D57)</f>
        <v>-2680461.9900000012</v>
      </c>
      <c r="E59" s="64">
        <f>-E58</f>
        <v>-81486.044496000031</v>
      </c>
      <c r="F59" s="64">
        <f>-AVERAGE(F44,F46:F57)</f>
        <v>228873.69993303515</v>
      </c>
      <c r="G59" s="54"/>
      <c r="H59" s="54"/>
      <c r="I59" s="54"/>
      <c r="J59" s="54"/>
      <c r="K59" s="64">
        <f>-K58</f>
        <v>65031.600758580782</v>
      </c>
      <c r="L59" s="64">
        <f>-L58</f>
        <v>14141.566232091558</v>
      </c>
      <c r="M59" s="1"/>
      <c r="N59" s="1"/>
      <c r="O59" s="1"/>
      <c r="P59" s="1"/>
      <c r="Q59" s="1"/>
    </row>
    <row r="60" spans="1:17" ht="9" customHeight="1" x14ac:dyDescent="0.25">
      <c r="A60" s="1"/>
      <c r="B60" s="24"/>
      <c r="C60" s="24"/>
      <c r="D60" s="1"/>
      <c r="E60" s="37"/>
      <c r="F60" s="1"/>
      <c r="G60" s="1"/>
      <c r="H60" s="1"/>
      <c r="I60" s="1"/>
      <c r="J60" s="1"/>
      <c r="K60" s="44"/>
      <c r="L60" s="44"/>
      <c r="M60" s="1"/>
      <c r="N60" s="44"/>
      <c r="O60" s="1"/>
      <c r="P60" s="1"/>
      <c r="Q60" s="1"/>
    </row>
    <row r="61" spans="1:17" x14ac:dyDescent="0.25">
      <c r="A61" s="15" t="s">
        <v>35</v>
      </c>
      <c r="B61" s="76"/>
      <c r="C61" s="24"/>
      <c r="D61" s="1"/>
      <c r="E61" s="35"/>
      <c r="F61" s="1"/>
      <c r="G61" s="1"/>
      <c r="H61" s="1"/>
      <c r="I61" s="1"/>
      <c r="J61" s="1"/>
      <c r="K61" s="42"/>
      <c r="L61" s="42"/>
      <c r="M61" s="35"/>
      <c r="N61" s="35"/>
      <c r="O61" s="1"/>
      <c r="P61" s="1"/>
      <c r="Q61" s="1"/>
    </row>
    <row r="62" spans="1:17" x14ac:dyDescent="0.25">
      <c r="A62" s="1" t="s">
        <v>185</v>
      </c>
      <c r="B62" s="24"/>
      <c r="C62" s="24"/>
      <c r="D62" s="1"/>
      <c r="E62" s="1"/>
      <c r="F62" s="1"/>
      <c r="G62" s="1"/>
      <c r="H62" s="1"/>
      <c r="I62" s="1"/>
      <c r="J62" s="1"/>
      <c r="K62" s="35"/>
      <c r="L62" s="40"/>
      <c r="M62" s="1"/>
      <c r="N62" s="1"/>
      <c r="O62" s="1"/>
      <c r="P62" s="1"/>
      <c r="Q62" s="1"/>
    </row>
    <row r="63" spans="1:17" x14ac:dyDescent="0.25">
      <c r="A63" s="1" t="s">
        <v>201</v>
      </c>
      <c r="B63" s="24"/>
      <c r="C63" s="2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 t="s">
        <v>186</v>
      </c>
      <c r="B64" s="24"/>
      <c r="C64" s="24"/>
      <c r="D64" s="1"/>
      <c r="E64" s="1"/>
      <c r="F64" s="1"/>
      <c r="G64" s="1"/>
      <c r="H64" s="1"/>
      <c r="I64" s="58"/>
      <c r="J64" s="1"/>
      <c r="K64" s="1"/>
      <c r="L64" s="1"/>
      <c r="M64" s="1"/>
      <c r="N64" s="1"/>
      <c r="O64" s="1"/>
      <c r="P64" s="1"/>
      <c r="Q64" s="1"/>
    </row>
    <row r="65" spans="4:11" x14ac:dyDescent="0.25">
      <c r="I65" s="36"/>
      <c r="K65" s="45"/>
    </row>
    <row r="66" spans="4:11" x14ac:dyDescent="0.25">
      <c r="I66" s="36"/>
      <c r="K66" s="45"/>
    </row>
    <row r="67" spans="4:11" x14ac:dyDescent="0.25">
      <c r="I67" s="36"/>
      <c r="K67" s="45"/>
    </row>
    <row r="68" spans="4:11" x14ac:dyDescent="0.25">
      <c r="I68" s="36"/>
      <c r="K68" s="45"/>
    </row>
    <row r="69" spans="4:11" x14ac:dyDescent="0.25">
      <c r="D69" s="45"/>
      <c r="I69" s="36"/>
      <c r="K69" s="45"/>
    </row>
    <row r="70" spans="4:11" x14ac:dyDescent="0.25">
      <c r="I70" s="36"/>
      <c r="K70" s="45"/>
    </row>
    <row r="71" spans="4:11" x14ac:dyDescent="0.25">
      <c r="I71" s="36"/>
      <c r="K71" s="45"/>
    </row>
    <row r="72" spans="4:11" x14ac:dyDescent="0.25">
      <c r="I72" s="36"/>
      <c r="K72" s="45"/>
    </row>
    <row r="73" spans="4:11" x14ac:dyDescent="0.25">
      <c r="I73" s="36"/>
      <c r="K73" s="45"/>
    </row>
    <row r="74" spans="4:11" x14ac:dyDescent="0.25">
      <c r="I74" s="36"/>
      <c r="K74" s="45"/>
    </row>
    <row r="75" spans="4:11" x14ac:dyDescent="0.25">
      <c r="I75" s="36"/>
      <c r="K75" s="45"/>
    </row>
    <row r="76" spans="4:11" x14ac:dyDescent="0.25">
      <c r="I76" s="36"/>
      <c r="K76" s="45"/>
    </row>
    <row r="77" spans="4:11" x14ac:dyDescent="0.25">
      <c r="I77" s="36"/>
    </row>
    <row r="78" spans="4:11" x14ac:dyDescent="0.25">
      <c r="I78" s="36"/>
    </row>
    <row r="79" spans="4:11" x14ac:dyDescent="0.25">
      <c r="I79" s="36"/>
    </row>
    <row r="80" spans="4:11" x14ac:dyDescent="0.25">
      <c r="I80" s="36"/>
    </row>
    <row r="81" spans="9:9" x14ac:dyDescent="0.25">
      <c r="I81" s="36"/>
    </row>
    <row r="82" spans="9:9" x14ac:dyDescent="0.25">
      <c r="I82" s="36"/>
    </row>
    <row r="83" spans="9:9" x14ac:dyDescent="0.25">
      <c r="I83" s="36"/>
    </row>
    <row r="84" spans="9:9" x14ac:dyDescent="0.25">
      <c r="I84" s="36"/>
    </row>
    <row r="85" spans="9:9" x14ac:dyDescent="0.25">
      <c r="I85" s="36"/>
    </row>
    <row r="86" spans="9:9" x14ac:dyDescent="0.25">
      <c r="I86" s="36"/>
    </row>
    <row r="87" spans="9:9" x14ac:dyDescent="0.25">
      <c r="I87" s="36"/>
    </row>
    <row r="88" spans="9:9" x14ac:dyDescent="0.25">
      <c r="I88" s="36"/>
    </row>
    <row r="89" spans="9:9" x14ac:dyDescent="0.25">
      <c r="I89" s="36"/>
    </row>
    <row r="90" spans="9:9" x14ac:dyDescent="0.25">
      <c r="I90" s="36"/>
    </row>
    <row r="91" spans="9:9" x14ac:dyDescent="0.25">
      <c r="I91" s="36"/>
    </row>
    <row r="92" spans="9:9" x14ac:dyDescent="0.25">
      <c r="I92" s="36"/>
    </row>
    <row r="93" spans="9:9" x14ac:dyDescent="0.25">
      <c r="I93" s="36"/>
    </row>
    <row r="94" spans="9:9" x14ac:dyDescent="0.25">
      <c r="I94" s="36"/>
    </row>
    <row r="95" spans="9:9" x14ac:dyDescent="0.25">
      <c r="I95" s="36"/>
    </row>
    <row r="96" spans="9:9" x14ac:dyDescent="0.25">
      <c r="I96" s="36"/>
    </row>
    <row r="97" spans="9:9" x14ac:dyDescent="0.25">
      <c r="I97" s="36"/>
    </row>
    <row r="98" spans="9:9" x14ac:dyDescent="0.25">
      <c r="I98" s="36"/>
    </row>
    <row r="99" spans="9:9" x14ac:dyDescent="0.25">
      <c r="I99" s="36"/>
    </row>
    <row r="100" spans="9:9" x14ac:dyDescent="0.25">
      <c r="I100" s="36"/>
    </row>
    <row r="101" spans="9:9" x14ac:dyDescent="0.25">
      <c r="I101" s="36"/>
    </row>
    <row r="102" spans="9:9" x14ac:dyDescent="0.25">
      <c r="I102" s="36"/>
    </row>
    <row r="103" spans="9:9" x14ac:dyDescent="0.25">
      <c r="I103" s="36"/>
    </row>
    <row r="104" spans="9:9" x14ac:dyDescent="0.25">
      <c r="I104" s="36"/>
    </row>
    <row r="105" spans="9:9" x14ac:dyDescent="0.25">
      <c r="I105" s="36"/>
    </row>
    <row r="106" spans="9:9" x14ac:dyDescent="0.25">
      <c r="I106" s="36"/>
    </row>
    <row r="107" spans="9:9" x14ac:dyDescent="0.25">
      <c r="I107" s="36"/>
    </row>
    <row r="108" spans="9:9" x14ac:dyDescent="0.25">
      <c r="I108" s="36"/>
    </row>
    <row r="109" spans="9:9" x14ac:dyDescent="0.25">
      <c r="I109" s="36"/>
    </row>
    <row r="110" spans="9:9" x14ac:dyDescent="0.25">
      <c r="I110" s="36"/>
    </row>
    <row r="111" spans="9:9" x14ac:dyDescent="0.25">
      <c r="I111" s="36"/>
    </row>
    <row r="112" spans="9:9" x14ac:dyDescent="0.25">
      <c r="I112" s="36"/>
    </row>
    <row r="113" spans="9:9" x14ac:dyDescent="0.25">
      <c r="I113" s="36"/>
    </row>
    <row r="114" spans="9:9" x14ac:dyDescent="0.25">
      <c r="I114" s="36"/>
    </row>
    <row r="115" spans="9:9" x14ac:dyDescent="0.25">
      <c r="I115" s="36"/>
    </row>
    <row r="116" spans="9:9" x14ac:dyDescent="0.25">
      <c r="I116" s="36"/>
    </row>
    <row r="117" spans="9:9" x14ac:dyDescent="0.25">
      <c r="I117" s="36"/>
    </row>
    <row r="118" spans="9:9" x14ac:dyDescent="0.25">
      <c r="I118" s="36"/>
    </row>
    <row r="119" spans="9:9" x14ac:dyDescent="0.25">
      <c r="I119" s="36"/>
    </row>
    <row r="120" spans="9:9" x14ac:dyDescent="0.25">
      <c r="I120" s="36"/>
    </row>
    <row r="121" spans="9:9" x14ac:dyDescent="0.25">
      <c r="I121" s="36"/>
    </row>
    <row r="122" spans="9:9" x14ac:dyDescent="0.25">
      <c r="I122" s="36"/>
    </row>
    <row r="123" spans="9:9" x14ac:dyDescent="0.25">
      <c r="I123" s="36"/>
    </row>
    <row r="124" spans="9:9" x14ac:dyDescent="0.25">
      <c r="I124" s="36"/>
    </row>
    <row r="125" spans="9:9" x14ac:dyDescent="0.25">
      <c r="I125" s="36"/>
    </row>
    <row r="126" spans="9:9" x14ac:dyDescent="0.25">
      <c r="I126" s="36"/>
    </row>
    <row r="127" spans="9:9" x14ac:dyDescent="0.25">
      <c r="I127" s="36"/>
    </row>
    <row r="128" spans="9:9" x14ac:dyDescent="0.25">
      <c r="I128" s="36"/>
    </row>
    <row r="129" spans="9:9" x14ac:dyDescent="0.25">
      <c r="I129" s="36"/>
    </row>
    <row r="130" spans="9:9" x14ac:dyDescent="0.25">
      <c r="I130" s="36"/>
    </row>
    <row r="131" spans="9:9" x14ac:dyDescent="0.25">
      <c r="I131" s="36"/>
    </row>
    <row r="132" spans="9:9" x14ac:dyDescent="0.25">
      <c r="I132" s="36"/>
    </row>
    <row r="133" spans="9:9" x14ac:dyDescent="0.25">
      <c r="I133" s="36"/>
    </row>
    <row r="134" spans="9:9" x14ac:dyDescent="0.25">
      <c r="I134" s="36"/>
    </row>
    <row r="135" spans="9:9" x14ac:dyDescent="0.25">
      <c r="I135" s="36"/>
    </row>
    <row r="136" spans="9:9" x14ac:dyDescent="0.25">
      <c r="I136" s="36"/>
    </row>
    <row r="137" spans="9:9" x14ac:dyDescent="0.25">
      <c r="I137" s="36"/>
    </row>
    <row r="138" spans="9:9" x14ac:dyDescent="0.25">
      <c r="I138" s="36"/>
    </row>
    <row r="139" spans="9:9" x14ac:dyDescent="0.25">
      <c r="I139" s="36"/>
    </row>
    <row r="140" spans="9:9" x14ac:dyDescent="0.25">
      <c r="I140" s="36"/>
    </row>
    <row r="141" spans="9:9" x14ac:dyDescent="0.25">
      <c r="I141" s="36"/>
    </row>
    <row r="142" spans="9:9" x14ac:dyDescent="0.25">
      <c r="I142" s="36"/>
    </row>
    <row r="143" spans="9:9" x14ac:dyDescent="0.25">
      <c r="I143" s="36"/>
    </row>
    <row r="144" spans="9:9" x14ac:dyDescent="0.25">
      <c r="I144" s="36"/>
    </row>
    <row r="145" spans="9:9" x14ac:dyDescent="0.25">
      <c r="I145" s="36"/>
    </row>
    <row r="146" spans="9:9" x14ac:dyDescent="0.25">
      <c r="I146" s="36"/>
    </row>
    <row r="147" spans="9:9" x14ac:dyDescent="0.25">
      <c r="I147" s="36"/>
    </row>
    <row r="148" spans="9:9" x14ac:dyDescent="0.25">
      <c r="I148" s="36"/>
    </row>
    <row r="149" spans="9:9" x14ac:dyDescent="0.25">
      <c r="I149" s="36"/>
    </row>
    <row r="150" spans="9:9" x14ac:dyDescent="0.25">
      <c r="I150" s="36"/>
    </row>
    <row r="151" spans="9:9" x14ac:dyDescent="0.25">
      <c r="I151" s="36"/>
    </row>
    <row r="152" spans="9:9" x14ac:dyDescent="0.25">
      <c r="I152" s="36"/>
    </row>
    <row r="153" spans="9:9" x14ac:dyDescent="0.25">
      <c r="I153" s="36"/>
    </row>
    <row r="154" spans="9:9" x14ac:dyDescent="0.25">
      <c r="I154" s="36"/>
    </row>
    <row r="155" spans="9:9" x14ac:dyDescent="0.25">
      <c r="I155" s="36"/>
    </row>
    <row r="156" spans="9:9" x14ac:dyDescent="0.25">
      <c r="I156" s="36"/>
    </row>
    <row r="157" spans="9:9" x14ac:dyDescent="0.25">
      <c r="I157" s="36"/>
    </row>
    <row r="158" spans="9:9" x14ac:dyDescent="0.25">
      <c r="I158" s="36"/>
    </row>
    <row r="159" spans="9:9" x14ac:dyDescent="0.25">
      <c r="I159" s="36"/>
    </row>
    <row r="160" spans="9:9" x14ac:dyDescent="0.25">
      <c r="I160" s="36"/>
    </row>
    <row r="161" spans="9:9" x14ac:dyDescent="0.25">
      <c r="I161" s="36"/>
    </row>
    <row r="162" spans="9:9" x14ac:dyDescent="0.25">
      <c r="I162" s="36"/>
    </row>
    <row r="163" spans="9:9" x14ac:dyDescent="0.25">
      <c r="I163" s="36"/>
    </row>
    <row r="164" spans="9:9" x14ac:dyDescent="0.25">
      <c r="I164" s="36"/>
    </row>
    <row r="165" spans="9:9" x14ac:dyDescent="0.25">
      <c r="I165" s="36"/>
    </row>
    <row r="166" spans="9:9" x14ac:dyDescent="0.25">
      <c r="I166" s="36"/>
    </row>
    <row r="167" spans="9:9" x14ac:dyDescent="0.25">
      <c r="I167" s="36"/>
    </row>
    <row r="168" spans="9:9" x14ac:dyDescent="0.25">
      <c r="I168" s="36"/>
    </row>
    <row r="169" spans="9:9" x14ac:dyDescent="0.25">
      <c r="I169" s="36"/>
    </row>
    <row r="170" spans="9:9" x14ac:dyDescent="0.25">
      <c r="I170" s="36"/>
    </row>
    <row r="171" spans="9:9" x14ac:dyDescent="0.25">
      <c r="I171" s="36"/>
    </row>
    <row r="172" spans="9:9" x14ac:dyDescent="0.25">
      <c r="I172" s="36"/>
    </row>
    <row r="173" spans="9:9" x14ac:dyDescent="0.25">
      <c r="I173" s="36"/>
    </row>
    <row r="174" spans="9:9" x14ac:dyDescent="0.25">
      <c r="I174" s="36"/>
    </row>
    <row r="175" spans="9:9" x14ac:dyDescent="0.25">
      <c r="I175" s="36"/>
    </row>
    <row r="176" spans="9:9" x14ac:dyDescent="0.25">
      <c r="I176" s="36"/>
    </row>
    <row r="177" spans="9:9" x14ac:dyDescent="0.25">
      <c r="I177" s="36"/>
    </row>
    <row r="178" spans="9:9" x14ac:dyDescent="0.25">
      <c r="I178" s="36"/>
    </row>
    <row r="179" spans="9:9" x14ac:dyDescent="0.25">
      <c r="I179" s="36"/>
    </row>
    <row r="180" spans="9:9" x14ac:dyDescent="0.25">
      <c r="I180" s="36"/>
    </row>
    <row r="181" spans="9:9" x14ac:dyDescent="0.25">
      <c r="I181" s="36"/>
    </row>
    <row r="182" spans="9:9" x14ac:dyDescent="0.25">
      <c r="I182" s="36"/>
    </row>
    <row r="183" spans="9:9" x14ac:dyDescent="0.25">
      <c r="I183" s="36"/>
    </row>
    <row r="184" spans="9:9" x14ac:dyDescent="0.25">
      <c r="I184" s="36"/>
    </row>
    <row r="185" spans="9:9" x14ac:dyDescent="0.25">
      <c r="I185" s="36"/>
    </row>
    <row r="186" spans="9:9" x14ac:dyDescent="0.25">
      <c r="I186" s="36"/>
    </row>
    <row r="187" spans="9:9" x14ac:dyDescent="0.25">
      <c r="I187" s="36"/>
    </row>
    <row r="188" spans="9:9" x14ac:dyDescent="0.25">
      <c r="I188" s="36"/>
    </row>
    <row r="189" spans="9:9" x14ac:dyDescent="0.25">
      <c r="I189" s="36"/>
    </row>
    <row r="190" spans="9:9" x14ac:dyDescent="0.25">
      <c r="I190" s="36"/>
    </row>
    <row r="191" spans="9:9" x14ac:dyDescent="0.25">
      <c r="I191" s="36"/>
    </row>
    <row r="192" spans="9:9" x14ac:dyDescent="0.25">
      <c r="I192" s="36"/>
    </row>
    <row r="193" spans="9:9" x14ac:dyDescent="0.25">
      <c r="I193" s="36"/>
    </row>
    <row r="194" spans="9:9" x14ac:dyDescent="0.25">
      <c r="I194" s="36"/>
    </row>
    <row r="195" spans="9:9" x14ac:dyDescent="0.25">
      <c r="I195" s="36"/>
    </row>
    <row r="196" spans="9:9" x14ac:dyDescent="0.25">
      <c r="I196" s="36"/>
    </row>
    <row r="197" spans="9:9" x14ac:dyDescent="0.25">
      <c r="I197" s="36"/>
    </row>
    <row r="198" spans="9:9" x14ac:dyDescent="0.25">
      <c r="I198" s="36"/>
    </row>
    <row r="199" spans="9:9" x14ac:dyDescent="0.25">
      <c r="I199" s="36"/>
    </row>
    <row r="200" spans="9:9" x14ac:dyDescent="0.25">
      <c r="I200" s="36"/>
    </row>
    <row r="201" spans="9:9" x14ac:dyDescent="0.25">
      <c r="I201" s="36"/>
    </row>
    <row r="202" spans="9:9" x14ac:dyDescent="0.25">
      <c r="I202" s="36"/>
    </row>
    <row r="203" spans="9:9" x14ac:dyDescent="0.25">
      <c r="I203" s="36"/>
    </row>
    <row r="204" spans="9:9" x14ac:dyDescent="0.25">
      <c r="I204" s="36"/>
    </row>
    <row r="205" spans="9:9" x14ac:dyDescent="0.25">
      <c r="I205" s="36"/>
    </row>
    <row r="206" spans="9:9" x14ac:dyDescent="0.25">
      <c r="I206" s="36"/>
    </row>
    <row r="207" spans="9:9" x14ac:dyDescent="0.25">
      <c r="I207" s="36"/>
    </row>
    <row r="208" spans="9:9" x14ac:dyDescent="0.25">
      <c r="I208" s="36"/>
    </row>
    <row r="209" spans="9:9" x14ac:dyDescent="0.25">
      <c r="I209" s="36"/>
    </row>
    <row r="210" spans="9:9" x14ac:dyDescent="0.25">
      <c r="I210" s="36"/>
    </row>
    <row r="211" spans="9:9" x14ac:dyDescent="0.25">
      <c r="I211" s="36"/>
    </row>
    <row r="212" spans="9:9" x14ac:dyDescent="0.25">
      <c r="I212" s="36"/>
    </row>
    <row r="213" spans="9:9" x14ac:dyDescent="0.25">
      <c r="I213" s="36"/>
    </row>
    <row r="214" spans="9:9" x14ac:dyDescent="0.25">
      <c r="I214" s="36"/>
    </row>
    <row r="215" spans="9:9" x14ac:dyDescent="0.25">
      <c r="I215" s="36"/>
    </row>
    <row r="216" spans="9:9" x14ac:dyDescent="0.25">
      <c r="I216" s="36"/>
    </row>
    <row r="217" spans="9:9" x14ac:dyDescent="0.25">
      <c r="I217" s="36"/>
    </row>
    <row r="218" spans="9:9" x14ac:dyDescent="0.25">
      <c r="I218" s="36"/>
    </row>
    <row r="219" spans="9:9" x14ac:dyDescent="0.25">
      <c r="I219" s="36"/>
    </row>
    <row r="220" spans="9:9" x14ac:dyDescent="0.25">
      <c r="I220" s="36"/>
    </row>
    <row r="221" spans="9:9" x14ac:dyDescent="0.25">
      <c r="I221" s="36"/>
    </row>
    <row r="222" spans="9:9" x14ac:dyDescent="0.25">
      <c r="I222" s="36"/>
    </row>
    <row r="223" spans="9:9" x14ac:dyDescent="0.25">
      <c r="I223" s="36"/>
    </row>
    <row r="224" spans="9:9" x14ac:dyDescent="0.25">
      <c r="I224" s="36"/>
    </row>
    <row r="225" spans="9:9" x14ac:dyDescent="0.25">
      <c r="I225" s="36"/>
    </row>
    <row r="226" spans="9:9" x14ac:dyDescent="0.25">
      <c r="I226" s="36"/>
    </row>
    <row r="227" spans="9:9" x14ac:dyDescent="0.25">
      <c r="I227" s="36"/>
    </row>
    <row r="228" spans="9:9" x14ac:dyDescent="0.25">
      <c r="I228" s="36"/>
    </row>
    <row r="229" spans="9:9" x14ac:dyDescent="0.25">
      <c r="I229" s="36"/>
    </row>
    <row r="230" spans="9:9" x14ac:dyDescent="0.25">
      <c r="I230" s="36"/>
    </row>
    <row r="231" spans="9:9" x14ac:dyDescent="0.25">
      <c r="I231" s="36"/>
    </row>
    <row r="232" spans="9:9" x14ac:dyDescent="0.25">
      <c r="I232" s="36"/>
    </row>
    <row r="233" spans="9:9" x14ac:dyDescent="0.25">
      <c r="I233" s="36"/>
    </row>
    <row r="234" spans="9:9" x14ac:dyDescent="0.25">
      <c r="I234" s="36"/>
    </row>
    <row r="235" spans="9:9" x14ac:dyDescent="0.25">
      <c r="I235" s="36"/>
    </row>
    <row r="236" spans="9:9" x14ac:dyDescent="0.25">
      <c r="I236" s="36"/>
    </row>
    <row r="237" spans="9:9" x14ac:dyDescent="0.25">
      <c r="I237" s="36"/>
    </row>
    <row r="238" spans="9:9" x14ac:dyDescent="0.25">
      <c r="I238" s="36"/>
    </row>
    <row r="239" spans="9:9" x14ac:dyDescent="0.25">
      <c r="I239" s="36"/>
    </row>
    <row r="240" spans="9:9" x14ac:dyDescent="0.25">
      <c r="I240" s="36"/>
    </row>
    <row r="241" spans="9:9" x14ac:dyDescent="0.25">
      <c r="I241" s="36"/>
    </row>
    <row r="242" spans="9:9" x14ac:dyDescent="0.25">
      <c r="I242" s="36"/>
    </row>
    <row r="243" spans="9:9" x14ac:dyDescent="0.25">
      <c r="I243" s="36"/>
    </row>
    <row r="244" spans="9:9" x14ac:dyDescent="0.25">
      <c r="I244" s="36"/>
    </row>
    <row r="245" spans="9:9" x14ac:dyDescent="0.25">
      <c r="I245" s="36"/>
    </row>
    <row r="246" spans="9:9" x14ac:dyDescent="0.25">
      <c r="I246" s="36"/>
    </row>
    <row r="247" spans="9:9" x14ac:dyDescent="0.25">
      <c r="I247" s="36"/>
    </row>
    <row r="248" spans="9:9" x14ac:dyDescent="0.25">
      <c r="I248" s="36"/>
    </row>
    <row r="249" spans="9:9" x14ac:dyDescent="0.25">
      <c r="I249" s="36"/>
    </row>
    <row r="250" spans="9:9" x14ac:dyDescent="0.25">
      <c r="I250" s="36"/>
    </row>
    <row r="251" spans="9:9" x14ac:dyDescent="0.25">
      <c r="I251" s="36"/>
    </row>
    <row r="252" spans="9:9" x14ac:dyDescent="0.25">
      <c r="I252" s="36"/>
    </row>
    <row r="253" spans="9:9" x14ac:dyDescent="0.25">
      <c r="I253" s="36"/>
    </row>
    <row r="254" spans="9:9" x14ac:dyDescent="0.25">
      <c r="I254" s="36"/>
    </row>
    <row r="255" spans="9:9" x14ac:dyDescent="0.25">
      <c r="I255" s="36"/>
    </row>
    <row r="256" spans="9:9" x14ac:dyDescent="0.25">
      <c r="I256" s="36"/>
    </row>
    <row r="257" spans="9:9" x14ac:dyDescent="0.25">
      <c r="I257" s="36"/>
    </row>
    <row r="258" spans="9:9" x14ac:dyDescent="0.25">
      <c r="I258" s="36"/>
    </row>
    <row r="259" spans="9:9" x14ac:dyDescent="0.25">
      <c r="I259" s="36"/>
    </row>
    <row r="260" spans="9:9" x14ac:dyDescent="0.25">
      <c r="I260" s="36"/>
    </row>
    <row r="261" spans="9:9" x14ac:dyDescent="0.25">
      <c r="I261" s="36"/>
    </row>
    <row r="262" spans="9:9" x14ac:dyDescent="0.25">
      <c r="I262" s="36"/>
    </row>
    <row r="263" spans="9:9" x14ac:dyDescent="0.25">
      <c r="I263" s="36"/>
    </row>
    <row r="264" spans="9:9" x14ac:dyDescent="0.25">
      <c r="I264" s="36"/>
    </row>
    <row r="265" spans="9:9" x14ac:dyDescent="0.25">
      <c r="I265" s="36"/>
    </row>
    <row r="266" spans="9:9" x14ac:dyDescent="0.25">
      <c r="I266" s="36"/>
    </row>
    <row r="267" spans="9:9" x14ac:dyDescent="0.25">
      <c r="I267" s="36"/>
    </row>
    <row r="268" spans="9:9" x14ac:dyDescent="0.25">
      <c r="I268" s="36"/>
    </row>
    <row r="269" spans="9:9" x14ac:dyDescent="0.25">
      <c r="I269" s="36"/>
    </row>
    <row r="270" spans="9:9" x14ac:dyDescent="0.25">
      <c r="I270" s="36"/>
    </row>
    <row r="271" spans="9:9" x14ac:dyDescent="0.25">
      <c r="I271" s="36"/>
    </row>
    <row r="272" spans="9:9" x14ac:dyDescent="0.25">
      <c r="I272" s="36"/>
    </row>
    <row r="273" spans="9:9" x14ac:dyDescent="0.25">
      <c r="I273" s="36"/>
    </row>
    <row r="274" spans="9:9" x14ac:dyDescent="0.25">
      <c r="I274" s="36"/>
    </row>
    <row r="275" spans="9:9" x14ac:dyDescent="0.25">
      <c r="I275" s="36"/>
    </row>
    <row r="276" spans="9:9" x14ac:dyDescent="0.25">
      <c r="I276" s="36"/>
    </row>
    <row r="277" spans="9:9" x14ac:dyDescent="0.25">
      <c r="I277" s="36"/>
    </row>
    <row r="278" spans="9:9" x14ac:dyDescent="0.25">
      <c r="I278" s="36"/>
    </row>
    <row r="279" spans="9:9" x14ac:dyDescent="0.25">
      <c r="I279" s="36"/>
    </row>
    <row r="280" spans="9:9" x14ac:dyDescent="0.25">
      <c r="I280" s="36"/>
    </row>
    <row r="281" spans="9:9" x14ac:dyDescent="0.25">
      <c r="I281" s="36"/>
    </row>
    <row r="282" spans="9:9" x14ac:dyDescent="0.25">
      <c r="I282" s="36"/>
    </row>
    <row r="283" spans="9:9" x14ac:dyDescent="0.25">
      <c r="I283" s="36"/>
    </row>
    <row r="284" spans="9:9" x14ac:dyDescent="0.25">
      <c r="I284" s="36"/>
    </row>
    <row r="285" spans="9:9" x14ac:dyDescent="0.25">
      <c r="I285" s="36"/>
    </row>
    <row r="286" spans="9:9" x14ac:dyDescent="0.25">
      <c r="I286" s="36"/>
    </row>
    <row r="287" spans="9:9" x14ac:dyDescent="0.25">
      <c r="I287" s="36"/>
    </row>
    <row r="288" spans="9:9" x14ac:dyDescent="0.25">
      <c r="I288" s="36"/>
    </row>
    <row r="289" spans="9:9" x14ac:dyDescent="0.25">
      <c r="I289" s="36"/>
    </row>
    <row r="290" spans="9:9" x14ac:dyDescent="0.25">
      <c r="I290" s="36"/>
    </row>
    <row r="291" spans="9:9" x14ac:dyDescent="0.25">
      <c r="I291" s="36"/>
    </row>
    <row r="292" spans="9:9" x14ac:dyDescent="0.25">
      <c r="I292" s="36"/>
    </row>
    <row r="293" spans="9:9" x14ac:dyDescent="0.25">
      <c r="I293" s="36"/>
    </row>
    <row r="294" spans="9:9" x14ac:dyDescent="0.25">
      <c r="I294" s="36"/>
    </row>
    <row r="295" spans="9:9" x14ac:dyDescent="0.25">
      <c r="I295" s="36"/>
    </row>
    <row r="296" spans="9:9" x14ac:dyDescent="0.25">
      <c r="I296" s="36"/>
    </row>
    <row r="297" spans="9:9" x14ac:dyDescent="0.25">
      <c r="I297" s="36"/>
    </row>
    <row r="298" spans="9:9" x14ac:dyDescent="0.25">
      <c r="I298" s="36"/>
    </row>
    <row r="299" spans="9:9" x14ac:dyDescent="0.25">
      <c r="I299" s="36"/>
    </row>
    <row r="300" spans="9:9" x14ac:dyDescent="0.25">
      <c r="I300" s="36"/>
    </row>
    <row r="301" spans="9:9" x14ac:dyDescent="0.25">
      <c r="I301" s="36"/>
    </row>
    <row r="302" spans="9:9" x14ac:dyDescent="0.25">
      <c r="I302" s="36"/>
    </row>
    <row r="303" spans="9:9" x14ac:dyDescent="0.25">
      <c r="I303" s="36"/>
    </row>
    <row r="304" spans="9:9" x14ac:dyDescent="0.25">
      <c r="I304" s="36"/>
    </row>
    <row r="305" spans="9:9" x14ac:dyDescent="0.25">
      <c r="I305" s="36"/>
    </row>
    <row r="306" spans="9:9" x14ac:dyDescent="0.25">
      <c r="I306" s="36"/>
    </row>
    <row r="307" spans="9:9" x14ac:dyDescent="0.25">
      <c r="I307" s="36"/>
    </row>
    <row r="308" spans="9:9" x14ac:dyDescent="0.25">
      <c r="I308" s="36"/>
    </row>
    <row r="309" spans="9:9" x14ac:dyDescent="0.25">
      <c r="I309" s="36"/>
    </row>
    <row r="310" spans="9:9" x14ac:dyDescent="0.25">
      <c r="I310" s="36"/>
    </row>
    <row r="311" spans="9:9" x14ac:dyDescent="0.25">
      <c r="I311" s="36"/>
    </row>
    <row r="312" spans="9:9" x14ac:dyDescent="0.25">
      <c r="I312" s="36"/>
    </row>
    <row r="313" spans="9:9" x14ac:dyDescent="0.25">
      <c r="I313" s="36"/>
    </row>
    <row r="314" spans="9:9" x14ac:dyDescent="0.25">
      <c r="I314" s="36"/>
    </row>
    <row r="315" spans="9:9" x14ac:dyDescent="0.25">
      <c r="I315" s="36"/>
    </row>
    <row r="316" spans="9:9" x14ac:dyDescent="0.25">
      <c r="I316" s="36"/>
    </row>
    <row r="317" spans="9:9" x14ac:dyDescent="0.25">
      <c r="I317" s="36"/>
    </row>
    <row r="318" spans="9:9" x14ac:dyDescent="0.25">
      <c r="I318" s="36"/>
    </row>
    <row r="319" spans="9:9" x14ac:dyDescent="0.25">
      <c r="I319" s="36"/>
    </row>
    <row r="320" spans="9:9" x14ac:dyDescent="0.25">
      <c r="I320" s="36"/>
    </row>
    <row r="321" spans="9:9" x14ac:dyDescent="0.25">
      <c r="I321" s="36"/>
    </row>
    <row r="322" spans="9:9" x14ac:dyDescent="0.25">
      <c r="I322" s="36"/>
    </row>
    <row r="323" spans="9:9" x14ac:dyDescent="0.25">
      <c r="I323" s="36"/>
    </row>
    <row r="324" spans="9:9" x14ac:dyDescent="0.25">
      <c r="I324" s="36"/>
    </row>
    <row r="325" spans="9:9" x14ac:dyDescent="0.25">
      <c r="I325" s="36"/>
    </row>
    <row r="326" spans="9:9" x14ac:dyDescent="0.25">
      <c r="I326" s="36"/>
    </row>
    <row r="327" spans="9:9" x14ac:dyDescent="0.25">
      <c r="I327" s="36"/>
    </row>
    <row r="328" spans="9:9" x14ac:dyDescent="0.25">
      <c r="I328" s="36"/>
    </row>
    <row r="329" spans="9:9" x14ac:dyDescent="0.25">
      <c r="I329" s="36"/>
    </row>
    <row r="330" spans="9:9" x14ac:dyDescent="0.25">
      <c r="I330" s="36"/>
    </row>
    <row r="331" spans="9:9" x14ac:dyDescent="0.25">
      <c r="I331" s="36"/>
    </row>
    <row r="332" spans="9:9" x14ac:dyDescent="0.25">
      <c r="I332" s="36"/>
    </row>
    <row r="333" spans="9:9" x14ac:dyDescent="0.25">
      <c r="I333" s="36"/>
    </row>
    <row r="334" spans="9:9" x14ac:dyDescent="0.25">
      <c r="I334" s="36"/>
    </row>
    <row r="335" spans="9:9" x14ac:dyDescent="0.25">
      <c r="I335" s="36"/>
    </row>
    <row r="336" spans="9:9" x14ac:dyDescent="0.25">
      <c r="I336" s="36"/>
    </row>
    <row r="337" spans="9:9" x14ac:dyDescent="0.25">
      <c r="I337" s="36"/>
    </row>
    <row r="338" spans="9:9" x14ac:dyDescent="0.25">
      <c r="I338" s="36"/>
    </row>
    <row r="339" spans="9:9" x14ac:dyDescent="0.25">
      <c r="I339" s="36"/>
    </row>
    <row r="340" spans="9:9" x14ac:dyDescent="0.25">
      <c r="I340" s="36"/>
    </row>
    <row r="341" spans="9:9" x14ac:dyDescent="0.25">
      <c r="I341" s="36"/>
    </row>
    <row r="342" spans="9:9" x14ac:dyDescent="0.25">
      <c r="I342" s="36"/>
    </row>
    <row r="343" spans="9:9" x14ac:dyDescent="0.25">
      <c r="I343" s="36"/>
    </row>
    <row r="344" spans="9:9" x14ac:dyDescent="0.25">
      <c r="I344" s="36"/>
    </row>
    <row r="345" spans="9:9" x14ac:dyDescent="0.25">
      <c r="I345" s="36"/>
    </row>
    <row r="346" spans="9:9" x14ac:dyDescent="0.25">
      <c r="I346" s="36"/>
    </row>
    <row r="347" spans="9:9" x14ac:dyDescent="0.25">
      <c r="I347" s="36"/>
    </row>
    <row r="348" spans="9:9" x14ac:dyDescent="0.25">
      <c r="I348" s="36"/>
    </row>
    <row r="349" spans="9:9" x14ac:dyDescent="0.25">
      <c r="I349" s="36"/>
    </row>
    <row r="350" spans="9:9" x14ac:dyDescent="0.25">
      <c r="I350" s="36"/>
    </row>
    <row r="351" spans="9:9" x14ac:dyDescent="0.25">
      <c r="I351" s="36"/>
    </row>
    <row r="352" spans="9:9" x14ac:dyDescent="0.25">
      <c r="I352" s="36"/>
    </row>
    <row r="353" spans="9:9" x14ac:dyDescent="0.25">
      <c r="I353" s="36"/>
    </row>
    <row r="354" spans="9:9" x14ac:dyDescent="0.25">
      <c r="I354" s="36"/>
    </row>
    <row r="355" spans="9:9" x14ac:dyDescent="0.25">
      <c r="I355" s="36"/>
    </row>
    <row r="356" spans="9:9" x14ac:dyDescent="0.25">
      <c r="I356" s="36"/>
    </row>
    <row r="357" spans="9:9" x14ac:dyDescent="0.25">
      <c r="I357" s="36"/>
    </row>
    <row r="358" spans="9:9" x14ac:dyDescent="0.25">
      <c r="I358" s="36"/>
    </row>
    <row r="359" spans="9:9" x14ac:dyDescent="0.25">
      <c r="I359" s="36"/>
    </row>
    <row r="360" spans="9:9" x14ac:dyDescent="0.25">
      <c r="I360" s="36"/>
    </row>
    <row r="361" spans="9:9" x14ac:dyDescent="0.25">
      <c r="I361" s="36"/>
    </row>
    <row r="362" spans="9:9" x14ac:dyDescent="0.25">
      <c r="I362" s="36"/>
    </row>
    <row r="363" spans="9:9" x14ac:dyDescent="0.25">
      <c r="I363" s="36"/>
    </row>
    <row r="364" spans="9:9" x14ac:dyDescent="0.25">
      <c r="I364" s="36"/>
    </row>
    <row r="365" spans="9:9" x14ac:dyDescent="0.25">
      <c r="I365" s="36"/>
    </row>
    <row r="366" spans="9:9" x14ac:dyDescent="0.25">
      <c r="I366" s="36"/>
    </row>
    <row r="367" spans="9:9" x14ac:dyDescent="0.25">
      <c r="I367" s="36"/>
    </row>
    <row r="368" spans="9:9" x14ac:dyDescent="0.25">
      <c r="I368" s="36"/>
    </row>
    <row r="369" spans="9:9" x14ac:dyDescent="0.25">
      <c r="I369" s="36"/>
    </row>
    <row r="370" spans="9:9" x14ac:dyDescent="0.25">
      <c r="I370" s="36"/>
    </row>
    <row r="371" spans="9:9" x14ac:dyDescent="0.25">
      <c r="I371" s="36"/>
    </row>
    <row r="372" spans="9:9" x14ac:dyDescent="0.25">
      <c r="I372" s="36"/>
    </row>
    <row r="373" spans="9:9" x14ac:dyDescent="0.25">
      <c r="I373" s="36"/>
    </row>
    <row r="374" spans="9:9" x14ac:dyDescent="0.25">
      <c r="I374" s="36"/>
    </row>
    <row r="375" spans="9:9" x14ac:dyDescent="0.25">
      <c r="I375" s="36"/>
    </row>
    <row r="376" spans="9:9" x14ac:dyDescent="0.25">
      <c r="I376" s="36"/>
    </row>
    <row r="377" spans="9:9" x14ac:dyDescent="0.25">
      <c r="I377" s="36"/>
    </row>
    <row r="378" spans="9:9" x14ac:dyDescent="0.25">
      <c r="I378" s="36"/>
    </row>
    <row r="379" spans="9:9" x14ac:dyDescent="0.25">
      <c r="I379" s="36"/>
    </row>
    <row r="380" spans="9:9" x14ac:dyDescent="0.25">
      <c r="I380" s="36"/>
    </row>
    <row r="381" spans="9:9" x14ac:dyDescent="0.25">
      <c r="I381" s="36"/>
    </row>
    <row r="382" spans="9:9" x14ac:dyDescent="0.25">
      <c r="I382" s="36"/>
    </row>
    <row r="383" spans="9:9" x14ac:dyDescent="0.25">
      <c r="I383" s="36"/>
    </row>
    <row r="384" spans="9:9" x14ac:dyDescent="0.25">
      <c r="I384" s="36"/>
    </row>
    <row r="385" spans="9:9" x14ac:dyDescent="0.25">
      <c r="I385" s="36"/>
    </row>
    <row r="386" spans="9:9" x14ac:dyDescent="0.25">
      <c r="I386" s="36"/>
    </row>
    <row r="387" spans="9:9" x14ac:dyDescent="0.25">
      <c r="I387" s="36"/>
    </row>
    <row r="388" spans="9:9" x14ac:dyDescent="0.25">
      <c r="I388" s="36"/>
    </row>
    <row r="389" spans="9:9" x14ac:dyDescent="0.25">
      <c r="I389" s="36"/>
    </row>
    <row r="390" spans="9:9" x14ac:dyDescent="0.25">
      <c r="I390" s="36"/>
    </row>
    <row r="391" spans="9:9" x14ac:dyDescent="0.25">
      <c r="I391" s="36"/>
    </row>
    <row r="392" spans="9:9" x14ac:dyDescent="0.25">
      <c r="I392" s="36"/>
    </row>
    <row r="393" spans="9:9" x14ac:dyDescent="0.25">
      <c r="I393" s="36"/>
    </row>
    <row r="394" spans="9:9" x14ac:dyDescent="0.25">
      <c r="I394" s="36"/>
    </row>
    <row r="395" spans="9:9" x14ac:dyDescent="0.25">
      <c r="I395" s="36"/>
    </row>
    <row r="396" spans="9:9" x14ac:dyDescent="0.25">
      <c r="I396" s="36"/>
    </row>
    <row r="397" spans="9:9" x14ac:dyDescent="0.25">
      <c r="I397" s="36"/>
    </row>
    <row r="398" spans="9:9" x14ac:dyDescent="0.25">
      <c r="I398" s="36"/>
    </row>
    <row r="399" spans="9:9" x14ac:dyDescent="0.25">
      <c r="I399" s="36"/>
    </row>
    <row r="400" spans="9:9" x14ac:dyDescent="0.25">
      <c r="I400" s="36"/>
    </row>
    <row r="401" spans="9:9" x14ac:dyDescent="0.25">
      <c r="I401" s="36"/>
    </row>
    <row r="402" spans="9:9" x14ac:dyDescent="0.25">
      <c r="I402" s="36"/>
    </row>
    <row r="403" spans="9:9" x14ac:dyDescent="0.25">
      <c r="I403" s="36"/>
    </row>
    <row r="404" spans="9:9" x14ac:dyDescent="0.25">
      <c r="I404" s="36"/>
    </row>
    <row r="405" spans="9:9" x14ac:dyDescent="0.25">
      <c r="I405" s="36"/>
    </row>
    <row r="406" spans="9:9" x14ac:dyDescent="0.25">
      <c r="I406" s="36"/>
    </row>
    <row r="407" spans="9:9" x14ac:dyDescent="0.25">
      <c r="I407" s="36"/>
    </row>
    <row r="408" spans="9:9" x14ac:dyDescent="0.25">
      <c r="I408" s="36"/>
    </row>
    <row r="409" spans="9:9" x14ac:dyDescent="0.25">
      <c r="I409" s="36"/>
    </row>
    <row r="410" spans="9:9" x14ac:dyDescent="0.25">
      <c r="I410" s="36"/>
    </row>
    <row r="411" spans="9:9" x14ac:dyDescent="0.25">
      <c r="I411" s="36"/>
    </row>
    <row r="412" spans="9:9" x14ac:dyDescent="0.25">
      <c r="I412" s="36"/>
    </row>
    <row r="413" spans="9:9" x14ac:dyDescent="0.25">
      <c r="I413" s="36"/>
    </row>
    <row r="414" spans="9:9" x14ac:dyDescent="0.25">
      <c r="I414" s="36"/>
    </row>
    <row r="415" spans="9:9" x14ac:dyDescent="0.25">
      <c r="I415" s="36"/>
    </row>
    <row r="416" spans="9:9" x14ac:dyDescent="0.25">
      <c r="I416" s="36"/>
    </row>
    <row r="417" spans="9:9" x14ac:dyDescent="0.25">
      <c r="I417" s="36"/>
    </row>
    <row r="418" spans="9:9" x14ac:dyDescent="0.25">
      <c r="I418" s="36"/>
    </row>
    <row r="419" spans="9:9" x14ac:dyDescent="0.25">
      <c r="I419" s="36"/>
    </row>
    <row r="420" spans="9:9" x14ac:dyDescent="0.25">
      <c r="I420" s="36"/>
    </row>
    <row r="421" spans="9:9" x14ac:dyDescent="0.25">
      <c r="I421" s="36"/>
    </row>
    <row r="422" spans="9:9" x14ac:dyDescent="0.25">
      <c r="I422" s="36"/>
    </row>
    <row r="423" spans="9:9" x14ac:dyDescent="0.25">
      <c r="I423" s="36"/>
    </row>
    <row r="424" spans="9:9" x14ac:dyDescent="0.25">
      <c r="I424" s="36"/>
    </row>
    <row r="425" spans="9:9" x14ac:dyDescent="0.25">
      <c r="I425" s="36"/>
    </row>
    <row r="426" spans="9:9" x14ac:dyDescent="0.25">
      <c r="I426" s="36"/>
    </row>
    <row r="427" spans="9:9" x14ac:dyDescent="0.25">
      <c r="I427" s="36"/>
    </row>
  </sheetData>
  <mergeCells count="11">
    <mergeCell ref="M31:Q31"/>
    <mergeCell ref="M44:Q44"/>
    <mergeCell ref="N4:O5"/>
    <mergeCell ref="B1:Q1"/>
    <mergeCell ref="B3:E3"/>
    <mergeCell ref="F4:F5"/>
    <mergeCell ref="G4:G5"/>
    <mergeCell ref="H4:H5"/>
    <mergeCell ref="K4:K5"/>
    <mergeCell ref="L4:L5"/>
    <mergeCell ref="N11:P11"/>
  </mergeCells>
  <printOptions horizontalCentered="1"/>
  <pageMargins left="0.7" right="0.7" top="1.1000000000000001" bottom="0.75" header="0.7" footer="0.3"/>
  <pageSetup scale="52" orientation="landscape" r:id="rId1"/>
  <headerFooter scaleWithDoc="0">
    <oddHeader>&amp;R&amp;"Times New Roman,Bold"&amp;8Docket No. 25-057-06
UAE Exhibit RR 1.4
Page 3 of 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C4370-313D-47AB-A643-CE7DB60D52C7}">
  <sheetPr>
    <pageSetUpPr fitToPage="1"/>
  </sheetPr>
  <dimension ref="A1:R416"/>
  <sheetViews>
    <sheetView topLeftCell="A7" zoomScaleNormal="100" workbookViewId="0">
      <selection activeCell="H12" sqref="H12"/>
    </sheetView>
  </sheetViews>
  <sheetFormatPr defaultRowHeight="15" x14ac:dyDescent="0.25"/>
  <cols>
    <col min="1" max="1" width="7.7109375" customWidth="1"/>
    <col min="2" max="2" width="11.28515625" style="69" customWidth="1"/>
    <col min="3" max="3" width="15" style="69" customWidth="1"/>
    <col min="4" max="4" width="15.7109375" customWidth="1"/>
    <col min="5" max="5" width="15" customWidth="1"/>
    <col min="6" max="7" width="16.5703125" customWidth="1"/>
    <col min="8" max="8" width="13.28515625" customWidth="1"/>
    <col min="9" max="10" width="13.5703125" customWidth="1"/>
    <col min="11" max="11" width="12" bestFit="1" customWidth="1"/>
    <col min="12" max="12" width="12.5703125" customWidth="1"/>
    <col min="15" max="15" width="11.42578125" customWidth="1"/>
  </cols>
  <sheetData>
    <row r="1" spans="1:18" ht="20.25" x14ac:dyDescent="0.3">
      <c r="A1" s="4" t="s">
        <v>40</v>
      </c>
      <c r="B1" s="282" t="s">
        <v>187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192"/>
    </row>
    <row r="2" spans="1:18" x14ac:dyDescent="0.25">
      <c r="A2" s="22" t="s">
        <v>43</v>
      </c>
      <c r="B2" s="24"/>
      <c r="C2" s="24"/>
      <c r="D2" s="34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ht="18" x14ac:dyDescent="0.25">
      <c r="A3" s="4">
        <v>1</v>
      </c>
      <c r="B3" s="24"/>
      <c r="C3" s="171" t="s">
        <v>188</v>
      </c>
      <c r="D3" s="77"/>
      <c r="E3" s="172">
        <v>2.7594712789940062E-2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18.75" thickBot="1" x14ac:dyDescent="0.3">
      <c r="A4" s="4">
        <v>2</v>
      </c>
      <c r="B4" s="24"/>
      <c r="C4" s="193" t="s">
        <v>179</v>
      </c>
      <c r="D4" s="170"/>
      <c r="E4" s="194">
        <v>3.04E-2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15.75" thickBot="1" x14ac:dyDescent="0.3">
      <c r="A5" s="4">
        <v>3</v>
      </c>
      <c r="B5" s="283" t="s">
        <v>189</v>
      </c>
      <c r="C5" s="284"/>
      <c r="D5" s="284"/>
      <c r="E5" s="285"/>
      <c r="F5" s="1"/>
      <c r="G5" s="18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ht="18" customHeight="1" x14ac:dyDescent="0.25">
      <c r="A6" s="4">
        <v>4</v>
      </c>
      <c r="B6" s="101"/>
      <c r="C6" s="173"/>
      <c r="D6" s="99"/>
      <c r="E6" s="174"/>
      <c r="F6" s="288" t="s">
        <v>58</v>
      </c>
      <c r="G6" s="288" t="s">
        <v>68</v>
      </c>
      <c r="H6" s="288" t="s">
        <v>66</v>
      </c>
      <c r="I6" s="97">
        <v>0.21</v>
      </c>
      <c r="J6" s="98">
        <v>4.3671630000000003E-2</v>
      </c>
      <c r="K6" s="288" t="s">
        <v>206</v>
      </c>
      <c r="L6" s="290" t="s">
        <v>57</v>
      </c>
      <c r="M6" s="1"/>
      <c r="N6" s="49"/>
      <c r="O6" s="50"/>
      <c r="P6" s="1"/>
      <c r="Q6" s="1"/>
    </row>
    <row r="7" spans="1:18" ht="51" customHeight="1" x14ac:dyDescent="0.25">
      <c r="A7" s="4">
        <f>A6+1</f>
        <v>5</v>
      </c>
      <c r="B7" s="101" t="s">
        <v>39</v>
      </c>
      <c r="C7" s="175" t="s">
        <v>181</v>
      </c>
      <c r="D7" s="176" t="s">
        <v>72</v>
      </c>
      <c r="E7" s="169" t="s">
        <v>69</v>
      </c>
      <c r="F7" s="289"/>
      <c r="G7" s="289"/>
      <c r="H7" s="289"/>
      <c r="I7" s="96" t="s">
        <v>70</v>
      </c>
      <c r="J7" s="96" t="s">
        <v>71</v>
      </c>
      <c r="K7" s="289"/>
      <c r="L7" s="291"/>
      <c r="M7" s="1"/>
      <c r="N7" s="280" t="s">
        <v>178</v>
      </c>
      <c r="O7" s="281"/>
      <c r="P7" s="1"/>
      <c r="Q7" s="1"/>
    </row>
    <row r="8" spans="1:18" x14ac:dyDescent="0.25">
      <c r="A8" s="4">
        <f t="shared" ref="A8:A47" si="0">A7+1</f>
        <v>6</v>
      </c>
      <c r="B8" s="65">
        <v>45261</v>
      </c>
      <c r="C8" s="177">
        <v>0</v>
      </c>
      <c r="D8" s="59">
        <f>C8</f>
        <v>0</v>
      </c>
      <c r="E8" s="106">
        <v>0</v>
      </c>
      <c r="F8" s="62">
        <v>0</v>
      </c>
      <c r="G8" s="61"/>
      <c r="H8" s="61"/>
      <c r="I8" s="61"/>
      <c r="J8" s="61"/>
      <c r="K8" s="61"/>
      <c r="L8" s="61"/>
      <c r="M8" s="1"/>
      <c r="N8" s="25" t="s">
        <v>54</v>
      </c>
      <c r="O8" s="46">
        <v>3.7499999999999999E-2</v>
      </c>
      <c r="P8" s="1"/>
      <c r="Q8" s="1"/>
    </row>
    <row r="9" spans="1:18" x14ac:dyDescent="0.25">
      <c r="A9" s="4">
        <f t="shared" si="0"/>
        <v>7</v>
      </c>
      <c r="B9" s="66">
        <v>45292</v>
      </c>
      <c r="C9" s="177">
        <v>183416.43</v>
      </c>
      <c r="D9" s="59">
        <f>D8+C9</f>
        <v>183416.43</v>
      </c>
      <c r="E9" s="72">
        <f t="shared" ref="E9:E20" si="1">D9*($E$3/12)</f>
        <v>421.77697556717879</v>
      </c>
      <c r="F9" s="56">
        <f>-E9</f>
        <v>-421.77697556717879</v>
      </c>
      <c r="G9" s="59"/>
      <c r="H9" s="59"/>
      <c r="I9" s="56">
        <f>$I$21/12</f>
        <v>-967.19242985444805</v>
      </c>
      <c r="J9" s="56">
        <f>$J$21/12</f>
        <v>-210.32260695442733</v>
      </c>
      <c r="K9" s="56">
        <f>I9</f>
        <v>-967.19242985444805</v>
      </c>
      <c r="L9" s="56">
        <f>J9</f>
        <v>-210.32260695442733</v>
      </c>
      <c r="M9" s="1"/>
      <c r="N9" s="25" t="s">
        <v>55</v>
      </c>
      <c r="O9" s="46">
        <v>7.2190000000000004E-2</v>
      </c>
      <c r="P9" s="1"/>
      <c r="Q9" s="1"/>
    </row>
    <row r="10" spans="1:18" x14ac:dyDescent="0.25">
      <c r="A10" s="4">
        <f t="shared" si="0"/>
        <v>8</v>
      </c>
      <c r="B10" s="66">
        <v>45323</v>
      </c>
      <c r="C10" s="177">
        <v>228175.53</v>
      </c>
      <c r="D10" s="59">
        <f t="shared" ref="D10:D20" si="2">D9+C10</f>
        <v>411591.95999999996</v>
      </c>
      <c r="E10" s="72">
        <f t="shared" si="1"/>
        <v>946.48016023737466</v>
      </c>
      <c r="F10" s="56">
        <f t="shared" ref="F10:F20" si="3">F9-E10</f>
        <v>-1368.2571358045534</v>
      </c>
      <c r="G10" s="59"/>
      <c r="H10" s="59"/>
      <c r="I10" s="56">
        <f t="shared" ref="I10:I20" si="4">$I$21/12</f>
        <v>-967.19242985444805</v>
      </c>
      <c r="J10" s="56">
        <f t="shared" ref="J10:J20" si="5">$J$21/12</f>
        <v>-210.32260695442733</v>
      </c>
      <c r="K10" s="56">
        <f t="shared" ref="K10:L20" si="6">K9+I10</f>
        <v>-1934.3848597088961</v>
      </c>
      <c r="L10" s="59">
        <f t="shared" si="6"/>
        <v>-420.64521390885466</v>
      </c>
      <c r="M10" s="1"/>
      <c r="N10" s="47" t="s">
        <v>56</v>
      </c>
      <c r="O10" s="48">
        <v>6.6769999999999996E-2</v>
      </c>
      <c r="P10" s="1"/>
      <c r="Q10" s="1"/>
    </row>
    <row r="11" spans="1:18" x14ac:dyDescent="0.25">
      <c r="A11" s="4">
        <f t="shared" si="0"/>
        <v>9</v>
      </c>
      <c r="B11" s="66">
        <v>45352</v>
      </c>
      <c r="C11" s="177">
        <v>142949.6</v>
      </c>
      <c r="D11" s="59">
        <f t="shared" si="2"/>
        <v>554541.55999999994</v>
      </c>
      <c r="E11" s="72">
        <f t="shared" si="1"/>
        <v>1275.201256523776</v>
      </c>
      <c r="F11" s="56">
        <f t="shared" si="3"/>
        <v>-2643.4583923283294</v>
      </c>
      <c r="G11" s="59"/>
      <c r="H11" s="59"/>
      <c r="I11" s="56">
        <f t="shared" si="4"/>
        <v>-967.19242985444805</v>
      </c>
      <c r="J11" s="56">
        <f t="shared" si="5"/>
        <v>-210.32260695442733</v>
      </c>
      <c r="K11" s="56">
        <f t="shared" si="6"/>
        <v>-2901.577289563344</v>
      </c>
      <c r="L11" s="59">
        <f t="shared" si="6"/>
        <v>-630.96782086328199</v>
      </c>
      <c r="M11" s="1"/>
      <c r="N11" s="1"/>
      <c r="O11" s="1"/>
      <c r="P11" s="1"/>
      <c r="Q11" s="1"/>
    </row>
    <row r="12" spans="1:18" x14ac:dyDescent="0.25">
      <c r="A12" s="4">
        <f t="shared" si="0"/>
        <v>10</v>
      </c>
      <c r="B12" s="66">
        <v>45383</v>
      </c>
      <c r="C12" s="177">
        <v>176852.15</v>
      </c>
      <c r="D12" s="59">
        <f t="shared" si="2"/>
        <v>731393.71</v>
      </c>
      <c r="E12" s="72">
        <f t="shared" si="1"/>
        <v>1681.8832803182258</v>
      </c>
      <c r="F12" s="56">
        <f t="shared" si="3"/>
        <v>-4325.3416726465548</v>
      </c>
      <c r="G12" s="59"/>
      <c r="H12" s="59"/>
      <c r="I12" s="56">
        <f t="shared" si="4"/>
        <v>-967.19242985444805</v>
      </c>
      <c r="J12" s="56">
        <f t="shared" si="5"/>
        <v>-210.32260695442733</v>
      </c>
      <c r="K12" s="56">
        <f t="shared" si="6"/>
        <v>-3868.7697194177922</v>
      </c>
      <c r="L12" s="59">
        <f t="shared" si="6"/>
        <v>-841.29042781770931</v>
      </c>
      <c r="M12" s="1"/>
      <c r="N12" s="1"/>
      <c r="O12" s="1"/>
      <c r="P12" s="1"/>
      <c r="Q12" s="1"/>
    </row>
    <row r="13" spans="1:18" x14ac:dyDescent="0.25">
      <c r="A13" s="4">
        <f t="shared" si="0"/>
        <v>11</v>
      </c>
      <c r="B13" s="66">
        <v>45413</v>
      </c>
      <c r="C13" s="177">
        <v>173950.74</v>
      </c>
      <c r="D13" s="59">
        <f t="shared" si="2"/>
        <v>905344.45</v>
      </c>
      <c r="E13" s="72">
        <f t="shared" si="1"/>
        <v>2081.893339476354</v>
      </c>
      <c r="F13" s="56">
        <f t="shared" si="3"/>
        <v>-6407.2350121229083</v>
      </c>
      <c r="G13" s="59"/>
      <c r="H13" s="59"/>
      <c r="I13" s="56">
        <f t="shared" si="4"/>
        <v>-967.19242985444805</v>
      </c>
      <c r="J13" s="56">
        <f t="shared" si="5"/>
        <v>-210.32260695442733</v>
      </c>
      <c r="K13" s="56">
        <f t="shared" si="6"/>
        <v>-4835.9621492722399</v>
      </c>
      <c r="L13" s="59">
        <f t="shared" si="6"/>
        <v>-1051.6130347721366</v>
      </c>
      <c r="M13" s="1"/>
      <c r="N13" s="1"/>
      <c r="O13" s="1"/>
      <c r="P13" s="1"/>
      <c r="Q13" s="1"/>
    </row>
    <row r="14" spans="1:18" x14ac:dyDescent="0.25">
      <c r="A14" s="4">
        <f t="shared" si="0"/>
        <v>12</v>
      </c>
      <c r="B14" s="66">
        <v>45444</v>
      </c>
      <c r="C14" s="177">
        <v>198378.05</v>
      </c>
      <c r="D14" s="59">
        <f t="shared" si="2"/>
        <v>1103722.5</v>
      </c>
      <c r="E14" s="72">
        <f t="shared" si="1"/>
        <v>2538.0754489412179</v>
      </c>
      <c r="F14" s="56">
        <f t="shared" si="3"/>
        <v>-8945.3104610641258</v>
      </c>
      <c r="G14" s="59"/>
      <c r="H14" s="59"/>
      <c r="I14" s="56">
        <f t="shared" si="4"/>
        <v>-967.19242985444805</v>
      </c>
      <c r="J14" s="56">
        <f t="shared" si="5"/>
        <v>-210.32260695442733</v>
      </c>
      <c r="K14" s="56">
        <f t="shared" si="6"/>
        <v>-5803.1545791266881</v>
      </c>
      <c r="L14" s="59">
        <f t="shared" si="6"/>
        <v>-1261.935641726564</v>
      </c>
      <c r="M14" s="1"/>
      <c r="N14" s="1"/>
      <c r="O14" s="1"/>
      <c r="P14" s="1"/>
      <c r="Q14" s="1"/>
    </row>
    <row r="15" spans="1:18" x14ac:dyDescent="0.25">
      <c r="A15" s="4">
        <f t="shared" si="0"/>
        <v>13</v>
      </c>
      <c r="B15" s="66">
        <v>45474</v>
      </c>
      <c r="C15" s="177">
        <v>221671.49</v>
      </c>
      <c r="D15" s="59">
        <f t="shared" si="2"/>
        <v>1325393.99</v>
      </c>
      <c r="E15" s="72">
        <f t="shared" si="1"/>
        <v>3047.8222072968906</v>
      </c>
      <c r="F15" s="56">
        <f t="shared" si="3"/>
        <v>-11993.132668361017</v>
      </c>
      <c r="G15" s="59"/>
      <c r="H15" s="59"/>
      <c r="I15" s="56">
        <f t="shared" si="4"/>
        <v>-967.19242985444805</v>
      </c>
      <c r="J15" s="56">
        <f t="shared" si="5"/>
        <v>-210.32260695442733</v>
      </c>
      <c r="K15" s="56">
        <f t="shared" si="6"/>
        <v>-6770.3470089811362</v>
      </c>
      <c r="L15" s="59">
        <f t="shared" si="6"/>
        <v>-1472.2582486809913</v>
      </c>
      <c r="M15" s="1"/>
      <c r="N15" s="1"/>
      <c r="O15" s="33"/>
      <c r="P15" s="1"/>
      <c r="Q15" s="1"/>
    </row>
    <row r="16" spans="1:18" x14ac:dyDescent="0.25">
      <c r="A16" s="4">
        <f t="shared" si="0"/>
        <v>14</v>
      </c>
      <c r="B16" s="66">
        <v>45505</v>
      </c>
      <c r="C16" s="177">
        <v>186879.61</v>
      </c>
      <c r="D16" s="59">
        <f t="shared" si="2"/>
        <v>1512273.6</v>
      </c>
      <c r="E16" s="72">
        <f t="shared" si="1"/>
        <v>3477.5629709840582</v>
      </c>
      <c r="F16" s="56">
        <f t="shared" si="3"/>
        <v>-15470.695639345075</v>
      </c>
      <c r="G16" s="59"/>
      <c r="H16" s="59"/>
      <c r="I16" s="56">
        <f t="shared" si="4"/>
        <v>-967.19242985444805</v>
      </c>
      <c r="J16" s="56">
        <f t="shared" si="5"/>
        <v>-210.32260695442733</v>
      </c>
      <c r="K16" s="56">
        <f t="shared" si="6"/>
        <v>-7737.5394388355844</v>
      </c>
      <c r="L16" s="59">
        <f t="shared" si="6"/>
        <v>-1682.5808556354186</v>
      </c>
      <c r="M16" s="1"/>
      <c r="N16" s="1"/>
      <c r="O16" s="1"/>
      <c r="P16" s="1"/>
      <c r="Q16" s="1"/>
    </row>
    <row r="17" spans="1:17" x14ac:dyDescent="0.25">
      <c r="A17" s="4">
        <f t="shared" si="0"/>
        <v>15</v>
      </c>
      <c r="B17" s="66">
        <v>45536</v>
      </c>
      <c r="C17" s="177">
        <v>162002.65</v>
      </c>
      <c r="D17" s="59">
        <f t="shared" si="2"/>
        <v>1674276.25</v>
      </c>
      <c r="E17" s="72">
        <f t="shared" si="1"/>
        <v>3850.097687480657</v>
      </c>
      <c r="F17" s="56">
        <f t="shared" si="3"/>
        <v>-19320.793326825733</v>
      </c>
      <c r="G17" s="59"/>
      <c r="H17" s="59"/>
      <c r="I17" s="56">
        <f t="shared" si="4"/>
        <v>-967.19242985444805</v>
      </c>
      <c r="J17" s="56">
        <f t="shared" si="5"/>
        <v>-210.32260695442733</v>
      </c>
      <c r="K17" s="56">
        <f t="shared" si="6"/>
        <v>-8704.7318686900326</v>
      </c>
      <c r="L17" s="59">
        <f t="shared" si="6"/>
        <v>-1892.903462589846</v>
      </c>
      <c r="M17" s="1"/>
      <c r="N17" s="1"/>
      <c r="O17" s="41"/>
      <c r="P17" s="1"/>
      <c r="Q17" s="1"/>
    </row>
    <row r="18" spans="1:17" x14ac:dyDescent="0.25">
      <c r="A18" s="4">
        <f t="shared" si="0"/>
        <v>16</v>
      </c>
      <c r="B18" s="66">
        <v>45566</v>
      </c>
      <c r="C18" s="177">
        <v>225272.16</v>
      </c>
      <c r="D18" s="59">
        <f t="shared" si="2"/>
        <v>1899548.41</v>
      </c>
      <c r="E18" s="72">
        <f t="shared" si="1"/>
        <v>4368.1244003781085</v>
      </c>
      <c r="F18" s="56">
        <f t="shared" si="3"/>
        <v>-23688.917727203843</v>
      </c>
      <c r="G18" s="59"/>
      <c r="H18" s="59"/>
      <c r="I18" s="56">
        <f t="shared" si="4"/>
        <v>-967.19242985444805</v>
      </c>
      <c r="J18" s="56">
        <f t="shared" si="5"/>
        <v>-210.32260695442733</v>
      </c>
      <c r="K18" s="56">
        <f t="shared" si="6"/>
        <v>-9671.9242985444798</v>
      </c>
      <c r="L18" s="59">
        <f t="shared" si="6"/>
        <v>-2103.2260695442733</v>
      </c>
      <c r="M18" s="1"/>
      <c r="N18" s="1"/>
      <c r="O18" s="1"/>
      <c r="P18" s="1"/>
      <c r="Q18" s="1"/>
    </row>
    <row r="19" spans="1:17" x14ac:dyDescent="0.25">
      <c r="A19" s="4">
        <f t="shared" si="0"/>
        <v>17</v>
      </c>
      <c r="B19" s="66">
        <v>45597</v>
      </c>
      <c r="C19" s="177">
        <v>196991.66</v>
      </c>
      <c r="D19" s="59">
        <f t="shared" si="2"/>
        <v>2096540.0699999998</v>
      </c>
      <c r="E19" s="72">
        <f t="shared" si="1"/>
        <v>4821.1184236875688</v>
      </c>
      <c r="F19" s="56">
        <f t="shared" si="3"/>
        <v>-28510.036150891414</v>
      </c>
      <c r="G19" s="59"/>
      <c r="H19" s="59"/>
      <c r="I19" s="56">
        <f t="shared" si="4"/>
        <v>-967.19242985444805</v>
      </c>
      <c r="J19" s="56">
        <f t="shared" si="5"/>
        <v>-210.32260695442733</v>
      </c>
      <c r="K19" s="56">
        <f t="shared" si="6"/>
        <v>-10639.116728398927</v>
      </c>
      <c r="L19" s="59">
        <f t="shared" si="6"/>
        <v>-2313.5486764987008</v>
      </c>
      <c r="M19" s="1"/>
      <c r="N19" s="1"/>
      <c r="O19" s="1"/>
      <c r="P19" s="1"/>
      <c r="Q19" s="1"/>
    </row>
    <row r="20" spans="1:17" x14ac:dyDescent="0.25">
      <c r="A20" s="4">
        <f t="shared" si="0"/>
        <v>18</v>
      </c>
      <c r="B20" s="66">
        <v>45627</v>
      </c>
      <c r="C20" s="177">
        <v>355191.92</v>
      </c>
      <c r="D20" s="59">
        <f t="shared" si="2"/>
        <v>2451731.9899999998</v>
      </c>
      <c r="E20" s="72">
        <f t="shared" si="1"/>
        <v>5637.9033418298486</v>
      </c>
      <c r="F20" s="56">
        <f t="shared" si="3"/>
        <v>-34147.939492721263</v>
      </c>
      <c r="G20" s="59"/>
      <c r="H20" s="59"/>
      <c r="I20" s="56">
        <f t="shared" si="4"/>
        <v>-967.19242985444805</v>
      </c>
      <c r="J20" s="56">
        <f t="shared" si="5"/>
        <v>-210.32260695442733</v>
      </c>
      <c r="K20" s="56">
        <f t="shared" si="6"/>
        <v>-11606.309158253374</v>
      </c>
      <c r="L20" s="59">
        <f t="shared" si="6"/>
        <v>-2523.8712834531279</v>
      </c>
      <c r="M20" s="1"/>
      <c r="N20" s="1"/>
      <c r="O20" s="1"/>
      <c r="P20" s="1"/>
      <c r="Q20" s="1"/>
    </row>
    <row r="21" spans="1:17" x14ac:dyDescent="0.25">
      <c r="A21" s="4">
        <f t="shared" si="0"/>
        <v>19</v>
      </c>
      <c r="B21" s="73" t="s">
        <v>182</v>
      </c>
      <c r="C21" s="73"/>
      <c r="D21" s="74">
        <f>D20</f>
        <v>2451731.9899999998</v>
      </c>
      <c r="E21" s="74">
        <f>SUM(E9:E20)</f>
        <v>34147.939492721263</v>
      </c>
      <c r="F21" s="64">
        <f>F20</f>
        <v>-34147.939492721263</v>
      </c>
      <c r="G21" s="74">
        <f>D21*O8</f>
        <v>91939.949624999994</v>
      </c>
      <c r="H21" s="74">
        <f>E21-G21</f>
        <v>-57792.01013227873</v>
      </c>
      <c r="I21" s="64">
        <f>(H21-J21)*$I$6</f>
        <v>-11606.309158253376</v>
      </c>
      <c r="J21" s="64">
        <f>H21*$J$6</f>
        <v>-2523.8712834531279</v>
      </c>
      <c r="K21" s="64">
        <f>K20</f>
        <v>-11606.309158253374</v>
      </c>
      <c r="L21" s="74">
        <f>L20</f>
        <v>-2523.8712834531279</v>
      </c>
      <c r="M21" s="1"/>
      <c r="N21" s="1"/>
      <c r="O21" s="1"/>
      <c r="P21" s="1"/>
      <c r="Q21" s="1"/>
    </row>
    <row r="22" spans="1:17" x14ac:dyDescent="0.25">
      <c r="A22" s="4">
        <f t="shared" si="0"/>
        <v>20</v>
      </c>
      <c r="B22" s="66">
        <v>45658</v>
      </c>
      <c r="C22" s="66"/>
      <c r="D22" s="59">
        <f>$D$20</f>
        <v>2451731.9899999998</v>
      </c>
      <c r="E22" s="72">
        <f t="shared" ref="E22:E33" si="7">D22*($E$3/12)</f>
        <v>5637.9033418298486</v>
      </c>
      <c r="F22" s="56">
        <f>F20-E22</f>
        <v>-39785.842834551113</v>
      </c>
      <c r="G22" s="59"/>
      <c r="H22" s="59"/>
      <c r="I22" s="56">
        <f>$I$34/12</f>
        <v>-1829.8144262674102</v>
      </c>
      <c r="J22" s="56">
        <f>$J$34/12</f>
        <v>-397.90565816700763</v>
      </c>
      <c r="K22" s="56">
        <f>K20+I22</f>
        <v>-13436.123584520785</v>
      </c>
      <c r="L22" s="59">
        <f>L20+J22</f>
        <v>-2921.7769416201354</v>
      </c>
      <c r="M22" s="1"/>
      <c r="N22" s="1"/>
      <c r="O22" s="1"/>
      <c r="P22" s="1"/>
      <c r="Q22" s="1"/>
    </row>
    <row r="23" spans="1:17" x14ac:dyDescent="0.25">
      <c r="A23" s="4">
        <f t="shared" si="0"/>
        <v>21</v>
      </c>
      <c r="B23" s="66">
        <v>45689</v>
      </c>
      <c r="C23" s="66"/>
      <c r="D23" s="59">
        <f t="shared" ref="D23:D33" si="8">$D$20</f>
        <v>2451731.9899999998</v>
      </c>
      <c r="E23" s="72">
        <f t="shared" si="7"/>
        <v>5637.9033418298486</v>
      </c>
      <c r="F23" s="56">
        <f t="shared" ref="F23:F33" si="9">F22-E23</f>
        <v>-45423.746176380962</v>
      </c>
      <c r="G23" s="59"/>
      <c r="H23" s="59"/>
      <c r="I23" s="56">
        <f t="shared" ref="I23:I33" si="10">$I$34/12</f>
        <v>-1829.8144262674102</v>
      </c>
      <c r="J23" s="56">
        <f t="shared" ref="J23:J33" si="11">$J$34/12</f>
        <v>-397.90565816700763</v>
      </c>
      <c r="K23" s="56">
        <f t="shared" ref="K23:L33" si="12">K22+I23</f>
        <v>-15265.938010788195</v>
      </c>
      <c r="L23" s="59">
        <f t="shared" si="12"/>
        <v>-3319.6825997871429</v>
      </c>
      <c r="M23" s="1"/>
      <c r="N23" s="1"/>
      <c r="O23" s="1"/>
      <c r="P23" s="1"/>
      <c r="Q23" s="1"/>
    </row>
    <row r="24" spans="1:17" x14ac:dyDescent="0.25">
      <c r="A24" s="4">
        <f t="shared" si="0"/>
        <v>22</v>
      </c>
      <c r="B24" s="66">
        <v>45717</v>
      </c>
      <c r="C24" s="66"/>
      <c r="D24" s="59">
        <f t="shared" si="8"/>
        <v>2451731.9899999998</v>
      </c>
      <c r="E24" s="72">
        <f t="shared" si="7"/>
        <v>5637.9033418298486</v>
      </c>
      <c r="F24" s="56">
        <f t="shared" si="9"/>
        <v>-51061.649518210812</v>
      </c>
      <c r="G24" s="59"/>
      <c r="H24" s="59"/>
      <c r="I24" s="56">
        <f t="shared" si="10"/>
        <v>-1829.8144262674102</v>
      </c>
      <c r="J24" s="56">
        <f t="shared" si="11"/>
        <v>-397.90565816700763</v>
      </c>
      <c r="K24" s="56">
        <f t="shared" si="12"/>
        <v>-17095.752437055606</v>
      </c>
      <c r="L24" s="59">
        <f t="shared" si="12"/>
        <v>-3717.5882579541503</v>
      </c>
      <c r="M24" s="1"/>
      <c r="N24" s="1"/>
      <c r="O24" s="1"/>
      <c r="P24" s="1"/>
      <c r="Q24" s="1"/>
    </row>
    <row r="25" spans="1:17" x14ac:dyDescent="0.25">
      <c r="A25" s="4">
        <f t="shared" si="0"/>
        <v>23</v>
      </c>
      <c r="B25" s="66">
        <v>45748</v>
      </c>
      <c r="C25" s="66"/>
      <c r="D25" s="59">
        <f t="shared" si="8"/>
        <v>2451731.9899999998</v>
      </c>
      <c r="E25" s="72">
        <f t="shared" si="7"/>
        <v>5637.9033418298486</v>
      </c>
      <c r="F25" s="56">
        <f t="shared" si="9"/>
        <v>-56699.552860040661</v>
      </c>
      <c r="G25" s="59"/>
      <c r="H25" s="59"/>
      <c r="I25" s="56">
        <f t="shared" si="10"/>
        <v>-1829.8144262674102</v>
      </c>
      <c r="J25" s="56">
        <f t="shared" si="11"/>
        <v>-397.90565816700763</v>
      </c>
      <c r="K25" s="56">
        <f t="shared" si="12"/>
        <v>-18925.566863323016</v>
      </c>
      <c r="L25" s="59">
        <f t="shared" si="12"/>
        <v>-4115.4939161211578</v>
      </c>
      <c r="M25" s="1"/>
      <c r="N25" s="1"/>
      <c r="O25" s="1"/>
      <c r="P25" s="1"/>
      <c r="Q25" s="1"/>
    </row>
    <row r="26" spans="1:17" x14ac:dyDescent="0.25">
      <c r="A26" s="4">
        <f t="shared" si="0"/>
        <v>24</v>
      </c>
      <c r="B26" s="66">
        <v>45778</v>
      </c>
      <c r="C26" s="66"/>
      <c r="D26" s="59">
        <f t="shared" si="8"/>
        <v>2451731.9899999998</v>
      </c>
      <c r="E26" s="72">
        <f t="shared" si="7"/>
        <v>5637.9033418298486</v>
      </c>
      <c r="F26" s="56">
        <f t="shared" si="9"/>
        <v>-62337.456201870511</v>
      </c>
      <c r="G26" s="59"/>
      <c r="H26" s="59"/>
      <c r="I26" s="56">
        <f t="shared" si="10"/>
        <v>-1829.8144262674102</v>
      </c>
      <c r="J26" s="56">
        <f t="shared" si="11"/>
        <v>-397.90565816700763</v>
      </c>
      <c r="K26" s="56">
        <f t="shared" si="12"/>
        <v>-20755.381289590427</v>
      </c>
      <c r="L26" s="59">
        <f t="shared" si="12"/>
        <v>-4513.3995742881652</v>
      </c>
      <c r="M26" s="1"/>
      <c r="N26" s="1"/>
      <c r="O26" s="39"/>
      <c r="P26" s="39"/>
      <c r="Q26" s="1"/>
    </row>
    <row r="27" spans="1:17" x14ac:dyDescent="0.25">
      <c r="A27" s="4">
        <f t="shared" si="0"/>
        <v>25</v>
      </c>
      <c r="B27" s="66">
        <v>45809</v>
      </c>
      <c r="C27" s="66"/>
      <c r="D27" s="59">
        <f t="shared" si="8"/>
        <v>2451731.9899999998</v>
      </c>
      <c r="E27" s="72">
        <f t="shared" si="7"/>
        <v>5637.9033418298486</v>
      </c>
      <c r="F27" s="56">
        <f t="shared" si="9"/>
        <v>-67975.359543700353</v>
      </c>
      <c r="G27" s="59"/>
      <c r="H27" s="59"/>
      <c r="I27" s="56">
        <f t="shared" si="10"/>
        <v>-1829.8144262674102</v>
      </c>
      <c r="J27" s="56">
        <f t="shared" si="11"/>
        <v>-397.90565816700763</v>
      </c>
      <c r="K27" s="56">
        <f t="shared" si="12"/>
        <v>-22585.195715857837</v>
      </c>
      <c r="L27" s="59">
        <f t="shared" si="12"/>
        <v>-4911.3052324551727</v>
      </c>
      <c r="M27" s="1"/>
      <c r="N27" s="1"/>
      <c r="O27" s="1"/>
      <c r="P27" s="1"/>
      <c r="Q27" s="1"/>
    </row>
    <row r="28" spans="1:17" x14ac:dyDescent="0.25">
      <c r="A28" s="4">
        <f t="shared" si="0"/>
        <v>26</v>
      </c>
      <c r="B28" s="66">
        <v>45839</v>
      </c>
      <c r="C28" s="66"/>
      <c r="D28" s="59">
        <f t="shared" si="8"/>
        <v>2451731.9899999998</v>
      </c>
      <c r="E28" s="72">
        <f t="shared" si="7"/>
        <v>5637.9033418298486</v>
      </c>
      <c r="F28" s="56">
        <f t="shared" si="9"/>
        <v>-73613.262885530203</v>
      </c>
      <c r="G28" s="59"/>
      <c r="H28" s="59"/>
      <c r="I28" s="56">
        <f t="shared" si="10"/>
        <v>-1829.8144262674102</v>
      </c>
      <c r="J28" s="56">
        <f t="shared" si="11"/>
        <v>-397.90565816700763</v>
      </c>
      <c r="K28" s="56">
        <f t="shared" si="12"/>
        <v>-24415.010142125248</v>
      </c>
      <c r="L28" s="59">
        <f t="shared" si="12"/>
        <v>-5309.2108906221802</v>
      </c>
      <c r="M28" s="1"/>
      <c r="N28" s="1"/>
      <c r="O28" s="1"/>
      <c r="P28" s="1"/>
      <c r="Q28" s="1"/>
    </row>
    <row r="29" spans="1:17" x14ac:dyDescent="0.25">
      <c r="A29" s="4">
        <f t="shared" si="0"/>
        <v>27</v>
      </c>
      <c r="B29" s="66">
        <v>45870</v>
      </c>
      <c r="C29" s="66"/>
      <c r="D29" s="59">
        <f t="shared" si="8"/>
        <v>2451731.9899999998</v>
      </c>
      <c r="E29" s="72">
        <f t="shared" si="7"/>
        <v>5637.9033418298486</v>
      </c>
      <c r="F29" s="56">
        <f t="shared" si="9"/>
        <v>-79251.166227360052</v>
      </c>
      <c r="G29" s="59"/>
      <c r="H29" s="59"/>
      <c r="I29" s="56">
        <f t="shared" si="10"/>
        <v>-1829.8144262674102</v>
      </c>
      <c r="J29" s="56">
        <f t="shared" si="11"/>
        <v>-397.90565816700763</v>
      </c>
      <c r="K29" s="56">
        <f t="shared" si="12"/>
        <v>-26244.824568392658</v>
      </c>
      <c r="L29" s="59">
        <f t="shared" si="12"/>
        <v>-5707.1165487891876</v>
      </c>
      <c r="M29" s="1"/>
      <c r="N29" s="1"/>
      <c r="O29" s="1"/>
      <c r="P29" s="1"/>
      <c r="Q29" s="1"/>
    </row>
    <row r="30" spans="1:17" x14ac:dyDescent="0.25">
      <c r="A30" s="4">
        <f t="shared" si="0"/>
        <v>28</v>
      </c>
      <c r="B30" s="66">
        <v>45901</v>
      </c>
      <c r="C30" s="66"/>
      <c r="D30" s="59">
        <f t="shared" si="8"/>
        <v>2451731.9899999998</v>
      </c>
      <c r="E30" s="72">
        <f t="shared" si="7"/>
        <v>5637.9033418298486</v>
      </c>
      <c r="F30" s="56">
        <f t="shared" si="9"/>
        <v>-84889.069569189902</v>
      </c>
      <c r="G30" s="59"/>
      <c r="H30" s="59"/>
      <c r="I30" s="56">
        <f t="shared" si="10"/>
        <v>-1829.8144262674102</v>
      </c>
      <c r="J30" s="56">
        <f t="shared" si="11"/>
        <v>-397.90565816700763</v>
      </c>
      <c r="K30" s="56">
        <f>K29+I30</f>
        <v>-28074.638994660068</v>
      </c>
      <c r="L30" s="59">
        <f t="shared" si="12"/>
        <v>-6105.0222069561951</v>
      </c>
      <c r="M30" s="1"/>
      <c r="N30" s="1"/>
      <c r="O30" s="1"/>
      <c r="P30" s="1"/>
      <c r="Q30" s="1"/>
    </row>
    <row r="31" spans="1:17" x14ac:dyDescent="0.25">
      <c r="A31" s="4">
        <f t="shared" si="0"/>
        <v>29</v>
      </c>
      <c r="B31" s="66">
        <v>45931</v>
      </c>
      <c r="C31" s="66"/>
      <c r="D31" s="59">
        <f t="shared" si="8"/>
        <v>2451731.9899999998</v>
      </c>
      <c r="E31" s="72">
        <f t="shared" si="7"/>
        <v>5637.9033418298486</v>
      </c>
      <c r="F31" s="56">
        <f t="shared" si="9"/>
        <v>-90526.972911019751</v>
      </c>
      <c r="G31" s="59"/>
      <c r="H31" s="59"/>
      <c r="I31" s="56">
        <f t="shared" si="10"/>
        <v>-1829.8144262674102</v>
      </c>
      <c r="J31" s="56">
        <f t="shared" si="11"/>
        <v>-397.90565816700763</v>
      </c>
      <c r="K31" s="56">
        <f>K30+I31</f>
        <v>-29904.453420927479</v>
      </c>
      <c r="L31" s="59">
        <f>L30+J31</f>
        <v>-6502.9278651232025</v>
      </c>
      <c r="M31" s="1"/>
      <c r="N31" s="1"/>
      <c r="O31" s="1"/>
      <c r="P31" s="1"/>
      <c r="Q31" s="1"/>
    </row>
    <row r="32" spans="1:17" x14ac:dyDescent="0.25">
      <c r="A32" s="4">
        <f t="shared" si="0"/>
        <v>30</v>
      </c>
      <c r="B32" s="66">
        <v>45962</v>
      </c>
      <c r="C32" s="66"/>
      <c r="D32" s="59">
        <f t="shared" si="8"/>
        <v>2451731.9899999998</v>
      </c>
      <c r="E32" s="72">
        <f t="shared" si="7"/>
        <v>5637.9033418298486</v>
      </c>
      <c r="F32" s="56">
        <f t="shared" si="9"/>
        <v>-96164.876252849601</v>
      </c>
      <c r="G32" s="59"/>
      <c r="H32" s="59"/>
      <c r="I32" s="56">
        <f t="shared" si="10"/>
        <v>-1829.8144262674102</v>
      </c>
      <c r="J32" s="56">
        <f t="shared" si="11"/>
        <v>-397.90565816700763</v>
      </c>
      <c r="K32" s="56">
        <f t="shared" si="12"/>
        <v>-31734.267847194889</v>
      </c>
      <c r="L32" s="59">
        <f t="shared" si="12"/>
        <v>-6900.83352329021</v>
      </c>
      <c r="M32" s="1"/>
      <c r="N32" s="1"/>
      <c r="O32" s="1"/>
      <c r="P32" s="1"/>
      <c r="Q32" s="1"/>
    </row>
    <row r="33" spans="1:17" x14ac:dyDescent="0.25">
      <c r="A33" s="4">
        <f t="shared" si="0"/>
        <v>31</v>
      </c>
      <c r="B33" s="66">
        <v>45992</v>
      </c>
      <c r="C33" s="66"/>
      <c r="D33" s="59">
        <f t="shared" si="8"/>
        <v>2451731.9899999998</v>
      </c>
      <c r="E33" s="72">
        <f t="shared" si="7"/>
        <v>5637.9033418298486</v>
      </c>
      <c r="F33" s="56">
        <f t="shared" si="9"/>
        <v>-101802.77959467945</v>
      </c>
      <c r="G33" s="59"/>
      <c r="H33" s="59"/>
      <c r="I33" s="56">
        <f t="shared" si="10"/>
        <v>-1829.8144262674102</v>
      </c>
      <c r="J33" s="56">
        <f t="shared" si="11"/>
        <v>-397.90565816700763</v>
      </c>
      <c r="K33" s="56">
        <f t="shared" si="12"/>
        <v>-33564.0822734623</v>
      </c>
      <c r="L33" s="59">
        <f t="shared" si="12"/>
        <v>-7298.7391814572175</v>
      </c>
      <c r="M33" s="268" t="s">
        <v>194</v>
      </c>
      <c r="N33" s="292"/>
      <c r="O33" s="292"/>
      <c r="P33" s="292"/>
      <c r="Q33" s="269"/>
    </row>
    <row r="34" spans="1:17" x14ac:dyDescent="0.25">
      <c r="A34" s="4">
        <f t="shared" si="0"/>
        <v>32</v>
      </c>
      <c r="B34" s="73" t="s">
        <v>183</v>
      </c>
      <c r="C34" s="73"/>
      <c r="D34" s="74">
        <f>D33</f>
        <v>2451731.9899999998</v>
      </c>
      <c r="E34" s="74">
        <f>SUM(E22:E33)</f>
        <v>67654.84010195818</v>
      </c>
      <c r="F34" s="64">
        <f>F33</f>
        <v>-101802.77959467945</v>
      </c>
      <c r="G34" s="74">
        <f>D34*O9</f>
        <v>176990.5323581</v>
      </c>
      <c r="H34" s="74">
        <f>E34-G34</f>
        <v>-109335.69225614182</v>
      </c>
      <c r="I34" s="64">
        <f>(H34-J34)*$I$6</f>
        <v>-21957.773115208922</v>
      </c>
      <c r="J34" s="64">
        <f>H34*$J$6</f>
        <v>-4774.8678980040913</v>
      </c>
      <c r="K34" s="64">
        <f>K33</f>
        <v>-33564.0822734623</v>
      </c>
      <c r="L34" s="74">
        <f>L33</f>
        <v>-7298.7391814572175</v>
      </c>
      <c r="M34" s="178" t="s">
        <v>61</v>
      </c>
      <c r="N34" s="178" t="s">
        <v>51</v>
      </c>
      <c r="O34" s="55" t="s">
        <v>60</v>
      </c>
      <c r="P34" s="55">
        <v>365</v>
      </c>
      <c r="Q34" s="179" t="s">
        <v>59</v>
      </c>
    </row>
    <row r="35" spans="1:17" x14ac:dyDescent="0.25">
      <c r="A35" s="4">
        <f t="shared" si="0"/>
        <v>33</v>
      </c>
      <c r="B35" s="66">
        <v>46023</v>
      </c>
      <c r="C35" s="66"/>
      <c r="D35" s="59">
        <f t="shared" ref="D35:D46" si="13">$D$20</f>
        <v>2451731.9899999998</v>
      </c>
      <c r="E35" s="72">
        <f t="shared" ref="E35:E46" si="14">D35*($E$4/12)</f>
        <v>6211.0543746666654</v>
      </c>
      <c r="F35" s="56">
        <f>F33-E35</f>
        <v>-108013.83396934612</v>
      </c>
      <c r="G35" s="56"/>
      <c r="H35" s="180"/>
      <c r="I35" s="71">
        <f>$I$47/12</f>
        <v>-1492.3180193877768</v>
      </c>
      <c r="J35" s="63">
        <f>$J$47/12</f>
        <v>-324.51475689272979</v>
      </c>
      <c r="K35" s="56">
        <f>K34+M35</f>
        <v>-34933.744017283956</v>
      </c>
      <c r="L35" s="56">
        <f>L34+N35</f>
        <v>-7596.5814925779423</v>
      </c>
      <c r="M35" s="56">
        <f>(I35*Q35)</f>
        <v>-1369.6617438216581</v>
      </c>
      <c r="N35" s="59">
        <f t="shared" ref="N35:N46" si="15">J35*Q35</f>
        <v>-297.84231112072462</v>
      </c>
      <c r="O35" s="52">
        <v>31</v>
      </c>
      <c r="P35" s="52">
        <f>P34-$O$35+1</f>
        <v>335</v>
      </c>
      <c r="Q35" s="51">
        <f t="shared" ref="Q35:Q46" si="16">P35/$P$34</f>
        <v>0.9178082191780822</v>
      </c>
    </row>
    <row r="36" spans="1:17" x14ac:dyDescent="0.25">
      <c r="A36" s="4">
        <f t="shared" si="0"/>
        <v>34</v>
      </c>
      <c r="B36" s="66">
        <v>46054</v>
      </c>
      <c r="C36" s="66"/>
      <c r="D36" s="59">
        <f t="shared" si="13"/>
        <v>2451731.9899999998</v>
      </c>
      <c r="E36" s="72">
        <f t="shared" si="14"/>
        <v>6211.0543746666654</v>
      </c>
      <c r="F36" s="56">
        <f t="shared" ref="F36:F46" si="17">F35-E36</f>
        <v>-114224.88834401278</v>
      </c>
      <c r="G36" s="56"/>
      <c r="H36" s="180"/>
      <c r="I36" s="56">
        <f t="shared" ref="I36:I46" si="18">$I$47/12</f>
        <v>-1492.3180193877768</v>
      </c>
      <c r="J36" s="63">
        <f t="shared" ref="J36:J46" si="19">$J$47/12</f>
        <v>-324.51475689272979</v>
      </c>
      <c r="K36" s="56">
        <f t="shared" ref="K36:L46" si="20">K35+M36</f>
        <v>-36188.926570577234</v>
      </c>
      <c r="L36" s="56">
        <f t="shared" si="20"/>
        <v>-7869.5295209781289</v>
      </c>
      <c r="M36" s="56">
        <f t="shared" ref="M36:M46" si="21">I36*Q36</f>
        <v>-1255.1825532932808</v>
      </c>
      <c r="N36" s="59">
        <f t="shared" si="15"/>
        <v>-272.94802840018644</v>
      </c>
      <c r="O36" s="52">
        <v>28</v>
      </c>
      <c r="P36" s="52">
        <f>P35-O36</f>
        <v>307</v>
      </c>
      <c r="Q36" s="51">
        <f t="shared" si="16"/>
        <v>0.84109589041095889</v>
      </c>
    </row>
    <row r="37" spans="1:17" x14ac:dyDescent="0.25">
      <c r="A37" s="4">
        <f t="shared" si="0"/>
        <v>35</v>
      </c>
      <c r="B37" s="66">
        <v>46082</v>
      </c>
      <c r="C37" s="66"/>
      <c r="D37" s="59">
        <f t="shared" si="13"/>
        <v>2451731.9899999998</v>
      </c>
      <c r="E37" s="72">
        <f t="shared" si="14"/>
        <v>6211.0543746666654</v>
      </c>
      <c r="F37" s="56">
        <f t="shared" si="17"/>
        <v>-120435.94271867945</v>
      </c>
      <c r="G37" s="56"/>
      <c r="H37" s="180"/>
      <c r="I37" s="56">
        <f t="shared" si="18"/>
        <v>-1492.3180193877768</v>
      </c>
      <c r="J37" s="63">
        <f t="shared" si="19"/>
        <v>-324.51475689272979</v>
      </c>
      <c r="K37" s="56">
        <f t="shared" si="20"/>
        <v>-37317.364305785522</v>
      </c>
      <c r="L37" s="56">
        <f t="shared" si="20"/>
        <v>-8114.916022080577</v>
      </c>
      <c r="M37" s="56">
        <f t="shared" si="21"/>
        <v>-1128.4377352082915</v>
      </c>
      <c r="N37" s="59">
        <f t="shared" si="15"/>
        <v>-245.38650110244774</v>
      </c>
      <c r="O37" s="52">
        <v>31</v>
      </c>
      <c r="P37" s="52">
        <f t="shared" ref="P37:P46" si="22">P36-O37</f>
        <v>276</v>
      </c>
      <c r="Q37" s="51">
        <f t="shared" si="16"/>
        <v>0.75616438356164384</v>
      </c>
    </row>
    <row r="38" spans="1:17" x14ac:dyDescent="0.25">
      <c r="A38" s="4">
        <f t="shared" si="0"/>
        <v>36</v>
      </c>
      <c r="B38" s="66">
        <v>46113</v>
      </c>
      <c r="C38" s="66"/>
      <c r="D38" s="59">
        <f t="shared" si="13"/>
        <v>2451731.9899999998</v>
      </c>
      <c r="E38" s="72">
        <f t="shared" si="14"/>
        <v>6211.0543746666654</v>
      </c>
      <c r="F38" s="56">
        <f t="shared" si="17"/>
        <v>-126646.99709334612</v>
      </c>
      <c r="G38" s="56"/>
      <c r="H38" s="180"/>
      <c r="I38" s="56">
        <f t="shared" si="18"/>
        <v>-1492.3180193877768</v>
      </c>
      <c r="J38" s="63">
        <f t="shared" si="19"/>
        <v>-324.51475689272979</v>
      </c>
      <c r="K38" s="56">
        <f t="shared" si="20"/>
        <v>-38323.145765427696</v>
      </c>
      <c r="L38" s="56">
        <f t="shared" si="20"/>
        <v>-8333.6300774110205</v>
      </c>
      <c r="M38" s="56">
        <f t="shared" si="21"/>
        <v>-1005.7814596421729</v>
      </c>
      <c r="N38" s="59">
        <f t="shared" si="15"/>
        <v>-218.71405533044253</v>
      </c>
      <c r="O38" s="52">
        <v>30</v>
      </c>
      <c r="P38" s="52">
        <f t="shared" si="22"/>
        <v>246</v>
      </c>
      <c r="Q38" s="51">
        <f t="shared" si="16"/>
        <v>0.67397260273972603</v>
      </c>
    </row>
    <row r="39" spans="1:17" x14ac:dyDescent="0.25">
      <c r="A39" s="4">
        <f t="shared" si="0"/>
        <v>37</v>
      </c>
      <c r="B39" s="66">
        <v>46143</v>
      </c>
      <c r="C39" s="66"/>
      <c r="D39" s="59">
        <f t="shared" si="13"/>
        <v>2451731.9899999998</v>
      </c>
      <c r="E39" s="72">
        <f t="shared" si="14"/>
        <v>6211.0543746666654</v>
      </c>
      <c r="F39" s="56">
        <f t="shared" si="17"/>
        <v>-132858.05146801277</v>
      </c>
      <c r="G39" s="56"/>
      <c r="H39" s="180"/>
      <c r="I39" s="56">
        <f t="shared" si="18"/>
        <v>-1492.3180193877768</v>
      </c>
      <c r="J39" s="63">
        <f t="shared" si="19"/>
        <v>-324.51475689272979</v>
      </c>
      <c r="K39" s="56">
        <f t="shared" si="20"/>
        <v>-39202.182406984881</v>
      </c>
      <c r="L39" s="56">
        <f t="shared" si="20"/>
        <v>-8524.7826054437246</v>
      </c>
      <c r="M39" s="56">
        <f t="shared" si="21"/>
        <v>-879.03664155718366</v>
      </c>
      <c r="N39" s="59">
        <f t="shared" si="15"/>
        <v>-191.15252803270386</v>
      </c>
      <c r="O39" s="52">
        <v>31</v>
      </c>
      <c r="P39" s="52">
        <f t="shared" si="22"/>
        <v>215</v>
      </c>
      <c r="Q39" s="51">
        <f t="shared" si="16"/>
        <v>0.58904109589041098</v>
      </c>
    </row>
    <row r="40" spans="1:17" x14ac:dyDescent="0.25">
      <c r="A40" s="4">
        <f t="shared" si="0"/>
        <v>38</v>
      </c>
      <c r="B40" s="66">
        <v>46174</v>
      </c>
      <c r="C40" s="66"/>
      <c r="D40" s="59">
        <f t="shared" si="13"/>
        <v>2451731.9899999998</v>
      </c>
      <c r="E40" s="72">
        <f t="shared" si="14"/>
        <v>6211.0543746666654</v>
      </c>
      <c r="F40" s="56">
        <f t="shared" si="17"/>
        <v>-139069.10584267942</v>
      </c>
      <c r="G40" s="56"/>
      <c r="H40" s="180"/>
      <c r="I40" s="56">
        <f t="shared" si="18"/>
        <v>-1492.3180193877768</v>
      </c>
      <c r="J40" s="63">
        <f t="shared" si="19"/>
        <v>-324.51475689272979</v>
      </c>
      <c r="K40" s="56">
        <f t="shared" si="20"/>
        <v>-39958.562772975944</v>
      </c>
      <c r="L40" s="56">
        <f t="shared" si="20"/>
        <v>-8689.262687704424</v>
      </c>
      <c r="M40" s="56">
        <f t="shared" si="21"/>
        <v>-756.38036599106499</v>
      </c>
      <c r="N40" s="59">
        <f t="shared" si="15"/>
        <v>-164.48008226069868</v>
      </c>
      <c r="O40" s="52">
        <v>30</v>
      </c>
      <c r="P40" s="52">
        <f t="shared" si="22"/>
        <v>185</v>
      </c>
      <c r="Q40" s="51">
        <f t="shared" si="16"/>
        <v>0.50684931506849318</v>
      </c>
    </row>
    <row r="41" spans="1:17" x14ac:dyDescent="0.25">
      <c r="A41" s="4">
        <f t="shared" si="0"/>
        <v>39</v>
      </c>
      <c r="B41" s="66">
        <v>46204</v>
      </c>
      <c r="C41" s="66"/>
      <c r="D41" s="59">
        <f t="shared" si="13"/>
        <v>2451731.9899999998</v>
      </c>
      <c r="E41" s="72">
        <f t="shared" si="14"/>
        <v>6211.0543746666654</v>
      </c>
      <c r="F41" s="56">
        <f t="shared" si="17"/>
        <v>-145280.16021734607</v>
      </c>
      <c r="G41" s="56"/>
      <c r="H41" s="180"/>
      <c r="I41" s="56">
        <f t="shared" si="18"/>
        <v>-1492.3180193877768</v>
      </c>
      <c r="J41" s="63">
        <f t="shared" si="19"/>
        <v>-324.51475689272979</v>
      </c>
      <c r="K41" s="56">
        <f t="shared" si="20"/>
        <v>-40588.198320882017</v>
      </c>
      <c r="L41" s="56">
        <f t="shared" si="20"/>
        <v>-8826.1812426673841</v>
      </c>
      <c r="M41" s="56">
        <f t="shared" si="21"/>
        <v>-629.63554790607566</v>
      </c>
      <c r="N41" s="59">
        <f t="shared" si="15"/>
        <v>-136.91855496295997</v>
      </c>
      <c r="O41" s="52">
        <v>31</v>
      </c>
      <c r="P41" s="52">
        <f t="shared" si="22"/>
        <v>154</v>
      </c>
      <c r="Q41" s="51">
        <f t="shared" si="16"/>
        <v>0.42191780821917807</v>
      </c>
    </row>
    <row r="42" spans="1:17" ht="17.25" customHeight="1" x14ac:dyDescent="0.25">
      <c r="A42" s="4">
        <f t="shared" si="0"/>
        <v>40</v>
      </c>
      <c r="B42" s="66">
        <v>46235</v>
      </c>
      <c r="C42" s="66"/>
      <c r="D42" s="59">
        <f t="shared" si="13"/>
        <v>2451731.9899999998</v>
      </c>
      <c r="E42" s="72">
        <f t="shared" si="14"/>
        <v>6211.0543746666654</v>
      </c>
      <c r="F42" s="56">
        <f t="shared" si="17"/>
        <v>-151491.21459201272</v>
      </c>
      <c r="G42" s="56"/>
      <c r="H42" s="180"/>
      <c r="I42" s="56">
        <f t="shared" si="18"/>
        <v>-1492.3180193877768</v>
      </c>
      <c r="J42" s="63">
        <f t="shared" si="19"/>
        <v>-324.51475689272979</v>
      </c>
      <c r="K42" s="56">
        <f t="shared" si="20"/>
        <v>-41091.0890507031</v>
      </c>
      <c r="L42" s="56">
        <f t="shared" si="20"/>
        <v>-8935.538270332605</v>
      </c>
      <c r="M42" s="56">
        <f t="shared" si="21"/>
        <v>-502.89072982108644</v>
      </c>
      <c r="N42" s="59">
        <f t="shared" si="15"/>
        <v>-109.35702766522127</v>
      </c>
      <c r="O42" s="52">
        <v>31</v>
      </c>
      <c r="P42" s="52">
        <f t="shared" si="22"/>
        <v>123</v>
      </c>
      <c r="Q42" s="51">
        <f t="shared" si="16"/>
        <v>0.33698630136986302</v>
      </c>
    </row>
    <row r="43" spans="1:17" x14ac:dyDescent="0.25">
      <c r="A43" s="4">
        <f t="shared" si="0"/>
        <v>41</v>
      </c>
      <c r="B43" s="66">
        <v>46266</v>
      </c>
      <c r="C43" s="66"/>
      <c r="D43" s="59">
        <f t="shared" si="13"/>
        <v>2451731.9899999998</v>
      </c>
      <c r="E43" s="72">
        <f t="shared" si="14"/>
        <v>6211.0543746666654</v>
      </c>
      <c r="F43" s="56">
        <f t="shared" si="17"/>
        <v>-157702.26896667937</v>
      </c>
      <c r="G43" s="56"/>
      <c r="H43" s="180"/>
      <c r="I43" s="56">
        <f t="shared" si="18"/>
        <v>-1492.3180193877768</v>
      </c>
      <c r="J43" s="63">
        <f t="shared" si="19"/>
        <v>-324.51475689272979</v>
      </c>
      <c r="K43" s="56">
        <f t="shared" si="20"/>
        <v>-41471.323504958069</v>
      </c>
      <c r="L43" s="56">
        <f t="shared" si="20"/>
        <v>-9018.222852225821</v>
      </c>
      <c r="M43" s="56">
        <f t="shared" si="21"/>
        <v>-380.23445425496777</v>
      </c>
      <c r="N43" s="59">
        <f t="shared" si="15"/>
        <v>-82.684581893216091</v>
      </c>
      <c r="O43" s="52">
        <v>30</v>
      </c>
      <c r="P43" s="52">
        <f t="shared" si="22"/>
        <v>93</v>
      </c>
      <c r="Q43" s="51">
        <f t="shared" si="16"/>
        <v>0.25479452054794521</v>
      </c>
    </row>
    <row r="44" spans="1:17" x14ac:dyDescent="0.25">
      <c r="A44" s="4">
        <f t="shared" si="0"/>
        <v>42</v>
      </c>
      <c r="B44" s="66">
        <v>46296</v>
      </c>
      <c r="C44" s="66"/>
      <c r="D44" s="59">
        <f t="shared" si="13"/>
        <v>2451731.9899999998</v>
      </c>
      <c r="E44" s="72">
        <f t="shared" si="14"/>
        <v>6211.0543746666654</v>
      </c>
      <c r="F44" s="56">
        <f t="shared" si="17"/>
        <v>-163913.32334134603</v>
      </c>
      <c r="G44" s="56"/>
      <c r="H44" s="180"/>
      <c r="I44" s="56">
        <f t="shared" si="18"/>
        <v>-1492.3180193877768</v>
      </c>
      <c r="J44" s="63">
        <f t="shared" si="19"/>
        <v>-324.51475689272979</v>
      </c>
      <c r="K44" s="56">
        <f t="shared" si="20"/>
        <v>-41724.813141128048</v>
      </c>
      <c r="L44" s="56">
        <f t="shared" si="20"/>
        <v>-9073.3459068212978</v>
      </c>
      <c r="M44" s="56">
        <f t="shared" si="21"/>
        <v>-253.48963616997852</v>
      </c>
      <c r="N44" s="59">
        <f t="shared" si="15"/>
        <v>-55.123054595477392</v>
      </c>
      <c r="O44" s="52">
        <v>31</v>
      </c>
      <c r="P44" s="52">
        <f t="shared" si="22"/>
        <v>62</v>
      </c>
      <c r="Q44" s="51">
        <f t="shared" si="16"/>
        <v>0.16986301369863013</v>
      </c>
    </row>
    <row r="45" spans="1:17" x14ac:dyDescent="0.25">
      <c r="A45" s="4">
        <f t="shared" si="0"/>
        <v>43</v>
      </c>
      <c r="B45" s="66">
        <v>46327</v>
      </c>
      <c r="C45" s="66"/>
      <c r="D45" s="59">
        <f t="shared" si="13"/>
        <v>2451731.9899999998</v>
      </c>
      <c r="E45" s="72">
        <f t="shared" si="14"/>
        <v>6211.0543746666654</v>
      </c>
      <c r="F45" s="56">
        <f t="shared" si="17"/>
        <v>-170124.37771601268</v>
      </c>
      <c r="G45" s="56"/>
      <c r="H45" s="180"/>
      <c r="I45" s="56">
        <f t="shared" si="18"/>
        <v>-1492.3180193877768</v>
      </c>
      <c r="J45" s="63">
        <f t="shared" si="19"/>
        <v>-324.51475689272979</v>
      </c>
      <c r="K45" s="56">
        <f t="shared" si="20"/>
        <v>-41855.646501731906</v>
      </c>
      <c r="L45" s="56">
        <f t="shared" si="20"/>
        <v>-9101.7965156447699</v>
      </c>
      <c r="M45" s="56">
        <f t="shared" si="21"/>
        <v>-130.83336060385989</v>
      </c>
      <c r="N45" s="59">
        <f t="shared" si="15"/>
        <v>-28.450608823472201</v>
      </c>
      <c r="O45" s="52">
        <v>30</v>
      </c>
      <c r="P45" s="52">
        <f t="shared" si="22"/>
        <v>32</v>
      </c>
      <c r="Q45" s="51">
        <f t="shared" si="16"/>
        <v>8.7671232876712329E-2</v>
      </c>
    </row>
    <row r="46" spans="1:17" x14ac:dyDescent="0.25">
      <c r="A46" s="4">
        <f t="shared" si="0"/>
        <v>44</v>
      </c>
      <c r="B46" s="66">
        <v>46357</v>
      </c>
      <c r="C46" s="67"/>
      <c r="D46" s="60">
        <f t="shared" si="13"/>
        <v>2451731.9899999998</v>
      </c>
      <c r="E46" s="72">
        <f t="shared" si="14"/>
        <v>6211.0543746666654</v>
      </c>
      <c r="F46" s="57">
        <f t="shared" si="17"/>
        <v>-176335.43209067933</v>
      </c>
      <c r="G46" s="57"/>
      <c r="H46" s="181"/>
      <c r="I46" s="57">
        <f t="shared" si="18"/>
        <v>-1492.3180193877768</v>
      </c>
      <c r="J46" s="63">
        <f t="shared" si="19"/>
        <v>-324.51475689272979</v>
      </c>
      <c r="K46" s="57">
        <f t="shared" si="20"/>
        <v>-41859.735044250774</v>
      </c>
      <c r="L46" s="57">
        <f t="shared" si="20"/>
        <v>-9102.6855971705027</v>
      </c>
      <c r="M46" s="57">
        <f t="shared" si="21"/>
        <v>-4.0885425188706215</v>
      </c>
      <c r="N46" s="60">
        <f t="shared" si="15"/>
        <v>-0.88908152573350629</v>
      </c>
      <c r="O46" s="53">
        <v>31</v>
      </c>
      <c r="P46" s="53">
        <f t="shared" si="22"/>
        <v>1</v>
      </c>
      <c r="Q46" s="51">
        <f t="shared" si="16"/>
        <v>2.7397260273972603E-3</v>
      </c>
    </row>
    <row r="47" spans="1:17" x14ac:dyDescent="0.25">
      <c r="A47" s="4">
        <f t="shared" si="0"/>
        <v>45</v>
      </c>
      <c r="B47" s="73" t="s">
        <v>184</v>
      </c>
      <c r="C47" s="67"/>
      <c r="D47" s="60">
        <f>D46</f>
        <v>2451731.9899999998</v>
      </c>
      <c r="E47" s="74">
        <f>SUM(E35:E46)</f>
        <v>74532.652495999981</v>
      </c>
      <c r="F47" s="57">
        <f>F46</f>
        <v>-176335.43209067933</v>
      </c>
      <c r="G47" s="57">
        <f>D47*O10</f>
        <v>163702.14497229998</v>
      </c>
      <c r="H47" s="60">
        <f>E47-G47</f>
        <v>-89169.492476300002</v>
      </c>
      <c r="I47" s="57">
        <f>(H47-J47)*$I$6</f>
        <v>-17907.81623265332</v>
      </c>
      <c r="J47" s="64">
        <f>H47*$J$6</f>
        <v>-3894.1770827127575</v>
      </c>
      <c r="K47" s="57">
        <f>K46</f>
        <v>-41859.735044250774</v>
      </c>
      <c r="L47" s="57">
        <f>L46</f>
        <v>-9102.6855971705027</v>
      </c>
      <c r="M47" s="57">
        <f>SUM(M35:M46)</f>
        <v>-8295.6527707884889</v>
      </c>
      <c r="N47" s="57">
        <f>SUM(N35:N46)</f>
        <v>-1803.9464157132843</v>
      </c>
      <c r="O47" s="53"/>
      <c r="P47" s="53"/>
      <c r="Q47" s="75"/>
    </row>
    <row r="48" spans="1:17" x14ac:dyDescent="0.25">
      <c r="A48" s="4">
        <v>46</v>
      </c>
      <c r="B48" s="68" t="s">
        <v>196</v>
      </c>
      <c r="C48" s="68"/>
      <c r="D48" s="64">
        <f>-AVERAGE(D33,D35:D46)</f>
        <v>-2451731.9899999993</v>
      </c>
      <c r="E48" s="64">
        <f>-E47</f>
        <v>-74532.652495999981</v>
      </c>
      <c r="F48" s="64">
        <f>-AVERAGE(F33,F35:F46)</f>
        <v>139069.10584267945</v>
      </c>
      <c r="G48" s="54"/>
      <c r="H48" s="54"/>
      <c r="I48" s="54"/>
      <c r="J48" s="54"/>
      <c r="K48" s="64">
        <f>-K47</f>
        <v>41859.735044250774</v>
      </c>
      <c r="L48" s="64">
        <f>-L47</f>
        <v>9102.6855971705027</v>
      </c>
      <c r="M48" s="1"/>
      <c r="N48" s="1"/>
      <c r="O48" s="1"/>
      <c r="P48" s="1"/>
      <c r="Q48" s="1"/>
    </row>
    <row r="49" spans="1:17" x14ac:dyDescent="0.25">
      <c r="A49" s="1"/>
      <c r="B49" s="24"/>
      <c r="C49" s="24"/>
      <c r="D49" s="1"/>
      <c r="E49" s="37"/>
      <c r="F49" s="1"/>
      <c r="G49" s="1"/>
      <c r="H49" s="1"/>
      <c r="I49" s="1"/>
      <c r="J49" s="1"/>
      <c r="K49" s="44"/>
      <c r="L49" s="44"/>
      <c r="M49" s="1"/>
      <c r="N49" s="44"/>
      <c r="O49" s="1"/>
      <c r="P49" s="1"/>
      <c r="Q49" s="1"/>
    </row>
    <row r="50" spans="1:17" x14ac:dyDescent="0.25">
      <c r="A50" s="15" t="s">
        <v>35</v>
      </c>
      <c r="B50" s="76"/>
      <c r="C50" s="24"/>
      <c r="D50" s="1"/>
      <c r="E50" s="35"/>
      <c r="F50" s="1"/>
      <c r="G50" s="1"/>
      <c r="H50" s="1"/>
      <c r="I50" s="1"/>
      <c r="J50" s="1"/>
      <c r="K50" s="42"/>
      <c r="L50" s="182"/>
      <c r="M50" s="35"/>
      <c r="N50" s="35"/>
      <c r="O50" s="1"/>
      <c r="P50" s="1"/>
      <c r="Q50" s="1"/>
    </row>
    <row r="51" spans="1:17" x14ac:dyDescent="0.25">
      <c r="A51" s="1" t="s">
        <v>185</v>
      </c>
      <c r="B51" s="24"/>
      <c r="C51" s="24"/>
      <c r="D51" s="1"/>
      <c r="E51" s="1"/>
      <c r="F51" s="1"/>
      <c r="G51" s="1"/>
      <c r="H51" s="1"/>
      <c r="I51" s="1"/>
      <c r="J51" s="1"/>
      <c r="K51" s="35"/>
      <c r="L51" s="35"/>
      <c r="M51" s="1"/>
      <c r="N51" s="1"/>
      <c r="O51" s="1"/>
      <c r="P51" s="1"/>
      <c r="Q51" s="1"/>
    </row>
    <row r="52" spans="1:17" x14ac:dyDescent="0.25">
      <c r="A52" s="1" t="s">
        <v>201</v>
      </c>
      <c r="B52" s="24"/>
      <c r="C52" s="24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 t="s">
        <v>186</v>
      </c>
      <c r="B53" s="24"/>
      <c r="C53" s="24"/>
      <c r="D53" s="1"/>
      <c r="E53" s="1"/>
      <c r="F53" s="1"/>
      <c r="G53" s="1"/>
      <c r="H53" s="1"/>
      <c r="I53" s="58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I54" s="36"/>
      <c r="K54" s="45"/>
    </row>
    <row r="55" spans="1:17" x14ac:dyDescent="0.25">
      <c r="I55" s="36"/>
      <c r="K55" s="45"/>
    </row>
    <row r="56" spans="1:17" x14ac:dyDescent="0.25">
      <c r="I56" s="36"/>
      <c r="K56" s="45"/>
    </row>
    <row r="57" spans="1:17" x14ac:dyDescent="0.25">
      <c r="I57" s="36"/>
      <c r="K57" s="45"/>
    </row>
    <row r="58" spans="1:17" x14ac:dyDescent="0.25">
      <c r="I58" s="36"/>
      <c r="K58" s="45"/>
    </row>
    <row r="59" spans="1:17" x14ac:dyDescent="0.25">
      <c r="I59" s="36"/>
      <c r="K59" s="45"/>
    </row>
    <row r="60" spans="1:17" x14ac:dyDescent="0.25">
      <c r="I60" s="36"/>
      <c r="K60" s="45"/>
    </row>
    <row r="61" spans="1:17" x14ac:dyDescent="0.25">
      <c r="I61" s="36"/>
      <c r="K61" s="45"/>
    </row>
    <row r="62" spans="1:17" x14ac:dyDescent="0.25">
      <c r="I62" s="36"/>
      <c r="K62" s="45"/>
    </row>
    <row r="63" spans="1:17" x14ac:dyDescent="0.25">
      <c r="I63" s="36"/>
      <c r="K63" s="45"/>
    </row>
    <row r="64" spans="1:17" x14ac:dyDescent="0.25">
      <c r="I64" s="36"/>
      <c r="K64" s="45"/>
    </row>
    <row r="65" spans="9:11" x14ac:dyDescent="0.25">
      <c r="I65" s="36"/>
      <c r="K65" s="45"/>
    </row>
    <row r="66" spans="9:11" x14ac:dyDescent="0.25">
      <c r="I66" s="36"/>
    </row>
    <row r="67" spans="9:11" x14ac:dyDescent="0.25">
      <c r="I67" s="36"/>
    </row>
    <row r="68" spans="9:11" x14ac:dyDescent="0.25">
      <c r="I68" s="36"/>
    </row>
    <row r="69" spans="9:11" x14ac:dyDescent="0.25">
      <c r="I69" s="36"/>
    </row>
    <row r="70" spans="9:11" x14ac:dyDescent="0.25">
      <c r="I70" s="36"/>
    </row>
    <row r="71" spans="9:11" x14ac:dyDescent="0.25">
      <c r="I71" s="36"/>
    </row>
    <row r="72" spans="9:11" x14ac:dyDescent="0.25">
      <c r="I72" s="36"/>
    </row>
    <row r="73" spans="9:11" x14ac:dyDescent="0.25">
      <c r="I73" s="36"/>
    </row>
    <row r="74" spans="9:11" x14ac:dyDescent="0.25">
      <c r="I74" s="36"/>
    </row>
    <row r="75" spans="9:11" x14ac:dyDescent="0.25">
      <c r="I75" s="36"/>
    </row>
    <row r="76" spans="9:11" x14ac:dyDescent="0.25">
      <c r="I76" s="36"/>
    </row>
    <row r="77" spans="9:11" x14ac:dyDescent="0.25">
      <c r="I77" s="36"/>
    </row>
    <row r="78" spans="9:11" x14ac:dyDescent="0.25">
      <c r="I78" s="36"/>
    </row>
    <row r="79" spans="9:11" x14ac:dyDescent="0.25">
      <c r="I79" s="36"/>
    </row>
    <row r="80" spans="9:11" x14ac:dyDescent="0.25">
      <c r="I80" s="36"/>
    </row>
    <row r="81" spans="9:9" x14ac:dyDescent="0.25">
      <c r="I81" s="36"/>
    </row>
    <row r="82" spans="9:9" x14ac:dyDescent="0.25">
      <c r="I82" s="36"/>
    </row>
    <row r="83" spans="9:9" x14ac:dyDescent="0.25">
      <c r="I83" s="36"/>
    </row>
    <row r="84" spans="9:9" x14ac:dyDescent="0.25">
      <c r="I84" s="36"/>
    </row>
    <row r="85" spans="9:9" x14ac:dyDescent="0.25">
      <c r="I85" s="36"/>
    </row>
    <row r="86" spans="9:9" x14ac:dyDescent="0.25">
      <c r="I86" s="36"/>
    </row>
    <row r="87" spans="9:9" x14ac:dyDescent="0.25">
      <c r="I87" s="36"/>
    </row>
    <row r="88" spans="9:9" x14ac:dyDescent="0.25">
      <c r="I88" s="36"/>
    </row>
    <row r="89" spans="9:9" x14ac:dyDescent="0.25">
      <c r="I89" s="36"/>
    </row>
    <row r="90" spans="9:9" x14ac:dyDescent="0.25">
      <c r="I90" s="36"/>
    </row>
    <row r="91" spans="9:9" x14ac:dyDescent="0.25">
      <c r="I91" s="36"/>
    </row>
    <row r="92" spans="9:9" x14ac:dyDescent="0.25">
      <c r="I92" s="36"/>
    </row>
    <row r="93" spans="9:9" x14ac:dyDescent="0.25">
      <c r="I93" s="36"/>
    </row>
    <row r="94" spans="9:9" x14ac:dyDescent="0.25">
      <c r="I94" s="36"/>
    </row>
    <row r="95" spans="9:9" x14ac:dyDescent="0.25">
      <c r="I95" s="36"/>
    </row>
    <row r="96" spans="9:9" x14ac:dyDescent="0.25">
      <c r="I96" s="36"/>
    </row>
    <row r="97" spans="9:9" x14ac:dyDescent="0.25">
      <c r="I97" s="36"/>
    </row>
    <row r="98" spans="9:9" x14ac:dyDescent="0.25">
      <c r="I98" s="36"/>
    </row>
    <row r="99" spans="9:9" x14ac:dyDescent="0.25">
      <c r="I99" s="36"/>
    </row>
    <row r="100" spans="9:9" x14ac:dyDescent="0.25">
      <c r="I100" s="36"/>
    </row>
    <row r="101" spans="9:9" x14ac:dyDescent="0.25">
      <c r="I101" s="36"/>
    </row>
    <row r="102" spans="9:9" x14ac:dyDescent="0.25">
      <c r="I102" s="36"/>
    </row>
    <row r="103" spans="9:9" x14ac:dyDescent="0.25">
      <c r="I103" s="36"/>
    </row>
    <row r="104" spans="9:9" x14ac:dyDescent="0.25">
      <c r="I104" s="36"/>
    </row>
    <row r="105" spans="9:9" x14ac:dyDescent="0.25">
      <c r="I105" s="36"/>
    </row>
    <row r="106" spans="9:9" x14ac:dyDescent="0.25">
      <c r="I106" s="36"/>
    </row>
    <row r="107" spans="9:9" x14ac:dyDescent="0.25">
      <c r="I107" s="36"/>
    </row>
    <row r="108" spans="9:9" x14ac:dyDescent="0.25">
      <c r="I108" s="36"/>
    </row>
    <row r="109" spans="9:9" x14ac:dyDescent="0.25">
      <c r="I109" s="36"/>
    </row>
    <row r="110" spans="9:9" x14ac:dyDescent="0.25">
      <c r="I110" s="36"/>
    </row>
    <row r="111" spans="9:9" x14ac:dyDescent="0.25">
      <c r="I111" s="36"/>
    </row>
    <row r="112" spans="9:9" x14ac:dyDescent="0.25">
      <c r="I112" s="36"/>
    </row>
    <row r="113" spans="9:9" x14ac:dyDescent="0.25">
      <c r="I113" s="36"/>
    </row>
    <row r="114" spans="9:9" x14ac:dyDescent="0.25">
      <c r="I114" s="36"/>
    </row>
    <row r="115" spans="9:9" x14ac:dyDescent="0.25">
      <c r="I115" s="36"/>
    </row>
    <row r="116" spans="9:9" x14ac:dyDescent="0.25">
      <c r="I116" s="36"/>
    </row>
    <row r="117" spans="9:9" x14ac:dyDescent="0.25">
      <c r="I117" s="36"/>
    </row>
    <row r="118" spans="9:9" x14ac:dyDescent="0.25">
      <c r="I118" s="36"/>
    </row>
    <row r="119" spans="9:9" x14ac:dyDescent="0.25">
      <c r="I119" s="36"/>
    </row>
    <row r="120" spans="9:9" x14ac:dyDescent="0.25">
      <c r="I120" s="36"/>
    </row>
    <row r="121" spans="9:9" x14ac:dyDescent="0.25">
      <c r="I121" s="36"/>
    </row>
    <row r="122" spans="9:9" x14ac:dyDescent="0.25">
      <c r="I122" s="36"/>
    </row>
    <row r="123" spans="9:9" x14ac:dyDescent="0.25">
      <c r="I123" s="36"/>
    </row>
    <row r="124" spans="9:9" x14ac:dyDescent="0.25">
      <c r="I124" s="36"/>
    </row>
    <row r="125" spans="9:9" x14ac:dyDescent="0.25">
      <c r="I125" s="36"/>
    </row>
    <row r="126" spans="9:9" x14ac:dyDescent="0.25">
      <c r="I126" s="36"/>
    </row>
    <row r="127" spans="9:9" x14ac:dyDescent="0.25">
      <c r="I127" s="36"/>
    </row>
    <row r="128" spans="9:9" x14ac:dyDescent="0.25">
      <c r="I128" s="36"/>
    </row>
    <row r="129" spans="9:9" x14ac:dyDescent="0.25">
      <c r="I129" s="36"/>
    </row>
    <row r="130" spans="9:9" x14ac:dyDescent="0.25">
      <c r="I130" s="36"/>
    </row>
    <row r="131" spans="9:9" x14ac:dyDescent="0.25">
      <c r="I131" s="36"/>
    </row>
    <row r="132" spans="9:9" x14ac:dyDescent="0.25">
      <c r="I132" s="36"/>
    </row>
    <row r="133" spans="9:9" x14ac:dyDescent="0.25">
      <c r="I133" s="36"/>
    </row>
    <row r="134" spans="9:9" x14ac:dyDescent="0.25">
      <c r="I134" s="36"/>
    </row>
    <row r="135" spans="9:9" x14ac:dyDescent="0.25">
      <c r="I135" s="36"/>
    </row>
    <row r="136" spans="9:9" x14ac:dyDescent="0.25">
      <c r="I136" s="36"/>
    </row>
    <row r="137" spans="9:9" x14ac:dyDescent="0.25">
      <c r="I137" s="36"/>
    </row>
    <row r="138" spans="9:9" x14ac:dyDescent="0.25">
      <c r="I138" s="36"/>
    </row>
    <row r="139" spans="9:9" x14ac:dyDescent="0.25">
      <c r="I139" s="36"/>
    </row>
    <row r="140" spans="9:9" x14ac:dyDescent="0.25">
      <c r="I140" s="36"/>
    </row>
    <row r="141" spans="9:9" x14ac:dyDescent="0.25">
      <c r="I141" s="36"/>
    </row>
    <row r="142" spans="9:9" x14ac:dyDescent="0.25">
      <c r="I142" s="36"/>
    </row>
    <row r="143" spans="9:9" x14ac:dyDescent="0.25">
      <c r="I143" s="36"/>
    </row>
    <row r="144" spans="9:9" x14ac:dyDescent="0.25">
      <c r="I144" s="36"/>
    </row>
    <row r="145" spans="9:9" x14ac:dyDescent="0.25">
      <c r="I145" s="36"/>
    </row>
    <row r="146" spans="9:9" x14ac:dyDescent="0.25">
      <c r="I146" s="36"/>
    </row>
    <row r="147" spans="9:9" x14ac:dyDescent="0.25">
      <c r="I147" s="36"/>
    </row>
    <row r="148" spans="9:9" x14ac:dyDescent="0.25">
      <c r="I148" s="36"/>
    </row>
    <row r="149" spans="9:9" x14ac:dyDescent="0.25">
      <c r="I149" s="36"/>
    </row>
    <row r="150" spans="9:9" x14ac:dyDescent="0.25">
      <c r="I150" s="36"/>
    </row>
    <row r="151" spans="9:9" x14ac:dyDescent="0.25">
      <c r="I151" s="36"/>
    </row>
    <row r="152" spans="9:9" x14ac:dyDescent="0.25">
      <c r="I152" s="36"/>
    </row>
    <row r="153" spans="9:9" x14ac:dyDescent="0.25">
      <c r="I153" s="36"/>
    </row>
    <row r="154" spans="9:9" x14ac:dyDescent="0.25">
      <c r="I154" s="36"/>
    </row>
    <row r="155" spans="9:9" x14ac:dyDescent="0.25">
      <c r="I155" s="36"/>
    </row>
    <row r="156" spans="9:9" x14ac:dyDescent="0.25">
      <c r="I156" s="36"/>
    </row>
    <row r="157" spans="9:9" x14ac:dyDescent="0.25">
      <c r="I157" s="36"/>
    </row>
    <row r="158" spans="9:9" x14ac:dyDescent="0.25">
      <c r="I158" s="36"/>
    </row>
    <row r="159" spans="9:9" x14ac:dyDescent="0.25">
      <c r="I159" s="36"/>
    </row>
    <row r="160" spans="9:9" x14ac:dyDescent="0.25">
      <c r="I160" s="36"/>
    </row>
    <row r="161" spans="9:9" x14ac:dyDescent="0.25">
      <c r="I161" s="36"/>
    </row>
    <row r="162" spans="9:9" x14ac:dyDescent="0.25">
      <c r="I162" s="36"/>
    </row>
    <row r="163" spans="9:9" x14ac:dyDescent="0.25">
      <c r="I163" s="36"/>
    </row>
    <row r="164" spans="9:9" x14ac:dyDescent="0.25">
      <c r="I164" s="36"/>
    </row>
    <row r="165" spans="9:9" x14ac:dyDescent="0.25">
      <c r="I165" s="36"/>
    </row>
    <row r="166" spans="9:9" x14ac:dyDescent="0.25">
      <c r="I166" s="36"/>
    </row>
    <row r="167" spans="9:9" x14ac:dyDescent="0.25">
      <c r="I167" s="36"/>
    </row>
    <row r="168" spans="9:9" x14ac:dyDescent="0.25">
      <c r="I168" s="36"/>
    </row>
    <row r="169" spans="9:9" x14ac:dyDescent="0.25">
      <c r="I169" s="36"/>
    </row>
    <row r="170" spans="9:9" x14ac:dyDescent="0.25">
      <c r="I170" s="36"/>
    </row>
    <row r="171" spans="9:9" x14ac:dyDescent="0.25">
      <c r="I171" s="36"/>
    </row>
    <row r="172" spans="9:9" x14ac:dyDescent="0.25">
      <c r="I172" s="36"/>
    </row>
    <row r="173" spans="9:9" x14ac:dyDescent="0.25">
      <c r="I173" s="36"/>
    </row>
    <row r="174" spans="9:9" x14ac:dyDescent="0.25">
      <c r="I174" s="36"/>
    </row>
    <row r="175" spans="9:9" x14ac:dyDescent="0.25">
      <c r="I175" s="36"/>
    </row>
    <row r="176" spans="9:9" x14ac:dyDescent="0.25">
      <c r="I176" s="36"/>
    </row>
    <row r="177" spans="9:9" x14ac:dyDescent="0.25">
      <c r="I177" s="36"/>
    </row>
    <row r="178" spans="9:9" x14ac:dyDescent="0.25">
      <c r="I178" s="36"/>
    </row>
    <row r="179" spans="9:9" x14ac:dyDescent="0.25">
      <c r="I179" s="36"/>
    </row>
    <row r="180" spans="9:9" x14ac:dyDescent="0.25">
      <c r="I180" s="36"/>
    </row>
    <row r="181" spans="9:9" x14ac:dyDescent="0.25">
      <c r="I181" s="36"/>
    </row>
    <row r="182" spans="9:9" x14ac:dyDescent="0.25">
      <c r="I182" s="36"/>
    </row>
    <row r="183" spans="9:9" x14ac:dyDescent="0.25">
      <c r="I183" s="36"/>
    </row>
    <row r="184" spans="9:9" x14ac:dyDescent="0.25">
      <c r="I184" s="36"/>
    </row>
    <row r="185" spans="9:9" x14ac:dyDescent="0.25">
      <c r="I185" s="36"/>
    </row>
    <row r="186" spans="9:9" x14ac:dyDescent="0.25">
      <c r="I186" s="36"/>
    </row>
    <row r="187" spans="9:9" x14ac:dyDescent="0.25">
      <c r="I187" s="36"/>
    </row>
    <row r="188" spans="9:9" x14ac:dyDescent="0.25">
      <c r="I188" s="36"/>
    </row>
    <row r="189" spans="9:9" x14ac:dyDescent="0.25">
      <c r="I189" s="36"/>
    </row>
    <row r="190" spans="9:9" x14ac:dyDescent="0.25">
      <c r="I190" s="36"/>
    </row>
    <row r="191" spans="9:9" x14ac:dyDescent="0.25">
      <c r="I191" s="36"/>
    </row>
    <row r="192" spans="9:9" x14ac:dyDescent="0.25">
      <c r="I192" s="36"/>
    </row>
    <row r="193" spans="9:9" x14ac:dyDescent="0.25">
      <c r="I193" s="36"/>
    </row>
    <row r="194" spans="9:9" x14ac:dyDescent="0.25">
      <c r="I194" s="36"/>
    </row>
    <row r="195" spans="9:9" x14ac:dyDescent="0.25">
      <c r="I195" s="36"/>
    </row>
    <row r="196" spans="9:9" x14ac:dyDescent="0.25">
      <c r="I196" s="36"/>
    </row>
    <row r="197" spans="9:9" x14ac:dyDescent="0.25">
      <c r="I197" s="36"/>
    </row>
    <row r="198" spans="9:9" x14ac:dyDescent="0.25">
      <c r="I198" s="36"/>
    </row>
    <row r="199" spans="9:9" x14ac:dyDescent="0.25">
      <c r="I199" s="36"/>
    </row>
    <row r="200" spans="9:9" x14ac:dyDescent="0.25">
      <c r="I200" s="36"/>
    </row>
    <row r="201" spans="9:9" x14ac:dyDescent="0.25">
      <c r="I201" s="36"/>
    </row>
    <row r="202" spans="9:9" x14ac:dyDescent="0.25">
      <c r="I202" s="36"/>
    </row>
    <row r="203" spans="9:9" x14ac:dyDescent="0.25">
      <c r="I203" s="36"/>
    </row>
    <row r="204" spans="9:9" x14ac:dyDescent="0.25">
      <c r="I204" s="36"/>
    </row>
    <row r="205" spans="9:9" x14ac:dyDescent="0.25">
      <c r="I205" s="36"/>
    </row>
    <row r="206" spans="9:9" x14ac:dyDescent="0.25">
      <c r="I206" s="36"/>
    </row>
    <row r="207" spans="9:9" x14ac:dyDescent="0.25">
      <c r="I207" s="36"/>
    </row>
    <row r="208" spans="9:9" x14ac:dyDescent="0.25">
      <c r="I208" s="36"/>
    </row>
    <row r="209" spans="9:9" x14ac:dyDescent="0.25">
      <c r="I209" s="36"/>
    </row>
    <row r="210" spans="9:9" x14ac:dyDescent="0.25">
      <c r="I210" s="36"/>
    </row>
    <row r="211" spans="9:9" x14ac:dyDescent="0.25">
      <c r="I211" s="36"/>
    </row>
    <row r="212" spans="9:9" x14ac:dyDescent="0.25">
      <c r="I212" s="36"/>
    </row>
    <row r="213" spans="9:9" x14ac:dyDescent="0.25">
      <c r="I213" s="36"/>
    </row>
    <row r="214" spans="9:9" x14ac:dyDescent="0.25">
      <c r="I214" s="36"/>
    </row>
    <row r="215" spans="9:9" x14ac:dyDescent="0.25">
      <c r="I215" s="36"/>
    </row>
    <row r="216" spans="9:9" x14ac:dyDescent="0.25">
      <c r="I216" s="36"/>
    </row>
    <row r="217" spans="9:9" x14ac:dyDescent="0.25">
      <c r="I217" s="36"/>
    </row>
    <row r="218" spans="9:9" x14ac:dyDescent="0.25">
      <c r="I218" s="36"/>
    </row>
    <row r="219" spans="9:9" x14ac:dyDescent="0.25">
      <c r="I219" s="36"/>
    </row>
    <row r="220" spans="9:9" x14ac:dyDescent="0.25">
      <c r="I220" s="36"/>
    </row>
    <row r="221" spans="9:9" x14ac:dyDescent="0.25">
      <c r="I221" s="36"/>
    </row>
    <row r="222" spans="9:9" x14ac:dyDescent="0.25">
      <c r="I222" s="36"/>
    </row>
    <row r="223" spans="9:9" x14ac:dyDescent="0.25">
      <c r="I223" s="36"/>
    </row>
    <row r="224" spans="9:9" x14ac:dyDescent="0.25">
      <c r="I224" s="36"/>
    </row>
    <row r="225" spans="9:9" x14ac:dyDescent="0.25">
      <c r="I225" s="36"/>
    </row>
    <row r="226" spans="9:9" x14ac:dyDescent="0.25">
      <c r="I226" s="36"/>
    </row>
    <row r="227" spans="9:9" x14ac:dyDescent="0.25">
      <c r="I227" s="36"/>
    </row>
    <row r="228" spans="9:9" x14ac:dyDescent="0.25">
      <c r="I228" s="36"/>
    </row>
    <row r="229" spans="9:9" x14ac:dyDescent="0.25">
      <c r="I229" s="36"/>
    </row>
    <row r="230" spans="9:9" x14ac:dyDescent="0.25">
      <c r="I230" s="36"/>
    </row>
    <row r="231" spans="9:9" x14ac:dyDescent="0.25">
      <c r="I231" s="36"/>
    </row>
    <row r="232" spans="9:9" x14ac:dyDescent="0.25">
      <c r="I232" s="36"/>
    </row>
    <row r="233" spans="9:9" x14ac:dyDescent="0.25">
      <c r="I233" s="36"/>
    </row>
    <row r="234" spans="9:9" x14ac:dyDescent="0.25">
      <c r="I234" s="36"/>
    </row>
    <row r="235" spans="9:9" x14ac:dyDescent="0.25">
      <c r="I235" s="36"/>
    </row>
    <row r="236" spans="9:9" x14ac:dyDescent="0.25">
      <c r="I236" s="36"/>
    </row>
    <row r="237" spans="9:9" x14ac:dyDescent="0.25">
      <c r="I237" s="36"/>
    </row>
    <row r="238" spans="9:9" x14ac:dyDescent="0.25">
      <c r="I238" s="36"/>
    </row>
    <row r="239" spans="9:9" x14ac:dyDescent="0.25">
      <c r="I239" s="36"/>
    </row>
    <row r="240" spans="9:9" x14ac:dyDescent="0.25">
      <c r="I240" s="36"/>
    </row>
    <row r="241" spans="9:9" x14ac:dyDescent="0.25">
      <c r="I241" s="36"/>
    </row>
    <row r="242" spans="9:9" x14ac:dyDescent="0.25">
      <c r="I242" s="36"/>
    </row>
    <row r="243" spans="9:9" x14ac:dyDescent="0.25">
      <c r="I243" s="36"/>
    </row>
    <row r="244" spans="9:9" x14ac:dyDescent="0.25">
      <c r="I244" s="36"/>
    </row>
    <row r="245" spans="9:9" x14ac:dyDescent="0.25">
      <c r="I245" s="36"/>
    </row>
    <row r="246" spans="9:9" x14ac:dyDescent="0.25">
      <c r="I246" s="36"/>
    </row>
    <row r="247" spans="9:9" x14ac:dyDescent="0.25">
      <c r="I247" s="36"/>
    </row>
    <row r="248" spans="9:9" x14ac:dyDescent="0.25">
      <c r="I248" s="36"/>
    </row>
    <row r="249" spans="9:9" x14ac:dyDescent="0.25">
      <c r="I249" s="36"/>
    </row>
    <row r="250" spans="9:9" x14ac:dyDescent="0.25">
      <c r="I250" s="36"/>
    </row>
    <row r="251" spans="9:9" x14ac:dyDescent="0.25">
      <c r="I251" s="36"/>
    </row>
    <row r="252" spans="9:9" x14ac:dyDescent="0.25">
      <c r="I252" s="36"/>
    </row>
    <row r="253" spans="9:9" x14ac:dyDescent="0.25">
      <c r="I253" s="36"/>
    </row>
    <row r="254" spans="9:9" x14ac:dyDescent="0.25">
      <c r="I254" s="36"/>
    </row>
    <row r="255" spans="9:9" x14ac:dyDescent="0.25">
      <c r="I255" s="36"/>
    </row>
    <row r="256" spans="9:9" x14ac:dyDescent="0.25">
      <c r="I256" s="36"/>
    </row>
    <row r="257" spans="9:9" x14ac:dyDescent="0.25">
      <c r="I257" s="36"/>
    </row>
    <row r="258" spans="9:9" x14ac:dyDescent="0.25">
      <c r="I258" s="36"/>
    </row>
    <row r="259" spans="9:9" x14ac:dyDescent="0.25">
      <c r="I259" s="36"/>
    </row>
    <row r="260" spans="9:9" x14ac:dyDescent="0.25">
      <c r="I260" s="36"/>
    </row>
    <row r="261" spans="9:9" x14ac:dyDescent="0.25">
      <c r="I261" s="36"/>
    </row>
    <row r="262" spans="9:9" x14ac:dyDescent="0.25">
      <c r="I262" s="36"/>
    </row>
    <row r="263" spans="9:9" x14ac:dyDescent="0.25">
      <c r="I263" s="36"/>
    </row>
    <row r="264" spans="9:9" x14ac:dyDescent="0.25">
      <c r="I264" s="36"/>
    </row>
    <row r="265" spans="9:9" x14ac:dyDescent="0.25">
      <c r="I265" s="36"/>
    </row>
    <row r="266" spans="9:9" x14ac:dyDescent="0.25">
      <c r="I266" s="36"/>
    </row>
    <row r="267" spans="9:9" x14ac:dyDescent="0.25">
      <c r="I267" s="36"/>
    </row>
    <row r="268" spans="9:9" x14ac:dyDescent="0.25">
      <c r="I268" s="36"/>
    </row>
    <row r="269" spans="9:9" x14ac:dyDescent="0.25">
      <c r="I269" s="36"/>
    </row>
    <row r="270" spans="9:9" x14ac:dyDescent="0.25">
      <c r="I270" s="36"/>
    </row>
    <row r="271" spans="9:9" x14ac:dyDescent="0.25">
      <c r="I271" s="36"/>
    </row>
    <row r="272" spans="9:9" x14ac:dyDescent="0.25">
      <c r="I272" s="36"/>
    </row>
    <row r="273" spans="9:9" x14ac:dyDescent="0.25">
      <c r="I273" s="36"/>
    </row>
    <row r="274" spans="9:9" x14ac:dyDescent="0.25">
      <c r="I274" s="36"/>
    </row>
    <row r="275" spans="9:9" x14ac:dyDescent="0.25">
      <c r="I275" s="36"/>
    </row>
    <row r="276" spans="9:9" x14ac:dyDescent="0.25">
      <c r="I276" s="36"/>
    </row>
    <row r="277" spans="9:9" x14ac:dyDescent="0.25">
      <c r="I277" s="36"/>
    </row>
    <row r="278" spans="9:9" x14ac:dyDescent="0.25">
      <c r="I278" s="36"/>
    </row>
    <row r="279" spans="9:9" x14ac:dyDescent="0.25">
      <c r="I279" s="36"/>
    </row>
    <row r="280" spans="9:9" x14ac:dyDescent="0.25">
      <c r="I280" s="36"/>
    </row>
    <row r="281" spans="9:9" x14ac:dyDescent="0.25">
      <c r="I281" s="36"/>
    </row>
    <row r="282" spans="9:9" x14ac:dyDescent="0.25">
      <c r="I282" s="36"/>
    </row>
    <row r="283" spans="9:9" x14ac:dyDescent="0.25">
      <c r="I283" s="36"/>
    </row>
    <row r="284" spans="9:9" x14ac:dyDescent="0.25">
      <c r="I284" s="36"/>
    </row>
    <row r="285" spans="9:9" x14ac:dyDescent="0.25">
      <c r="I285" s="36"/>
    </row>
    <row r="286" spans="9:9" x14ac:dyDescent="0.25">
      <c r="I286" s="36"/>
    </row>
    <row r="287" spans="9:9" x14ac:dyDescent="0.25">
      <c r="I287" s="36"/>
    </row>
    <row r="288" spans="9:9" x14ac:dyDescent="0.25">
      <c r="I288" s="36"/>
    </row>
    <row r="289" spans="9:9" x14ac:dyDescent="0.25">
      <c r="I289" s="36"/>
    </row>
    <row r="290" spans="9:9" x14ac:dyDescent="0.25">
      <c r="I290" s="36"/>
    </row>
    <row r="291" spans="9:9" x14ac:dyDescent="0.25">
      <c r="I291" s="36"/>
    </row>
    <row r="292" spans="9:9" x14ac:dyDescent="0.25">
      <c r="I292" s="36"/>
    </row>
    <row r="293" spans="9:9" x14ac:dyDescent="0.25">
      <c r="I293" s="36"/>
    </row>
    <row r="294" spans="9:9" x14ac:dyDescent="0.25">
      <c r="I294" s="36"/>
    </row>
    <row r="295" spans="9:9" x14ac:dyDescent="0.25">
      <c r="I295" s="36"/>
    </row>
    <row r="296" spans="9:9" x14ac:dyDescent="0.25">
      <c r="I296" s="36"/>
    </row>
    <row r="297" spans="9:9" x14ac:dyDescent="0.25">
      <c r="I297" s="36"/>
    </row>
    <row r="298" spans="9:9" x14ac:dyDescent="0.25">
      <c r="I298" s="36"/>
    </row>
    <row r="299" spans="9:9" x14ac:dyDescent="0.25">
      <c r="I299" s="36"/>
    </row>
    <row r="300" spans="9:9" x14ac:dyDescent="0.25">
      <c r="I300" s="36"/>
    </row>
    <row r="301" spans="9:9" x14ac:dyDescent="0.25">
      <c r="I301" s="36"/>
    </row>
    <row r="302" spans="9:9" x14ac:dyDescent="0.25">
      <c r="I302" s="36"/>
    </row>
    <row r="303" spans="9:9" x14ac:dyDescent="0.25">
      <c r="I303" s="36"/>
    </row>
    <row r="304" spans="9:9" x14ac:dyDescent="0.25">
      <c r="I304" s="36"/>
    </row>
    <row r="305" spans="9:9" x14ac:dyDescent="0.25">
      <c r="I305" s="36"/>
    </row>
    <row r="306" spans="9:9" x14ac:dyDescent="0.25">
      <c r="I306" s="36"/>
    </row>
    <row r="307" spans="9:9" x14ac:dyDescent="0.25">
      <c r="I307" s="36"/>
    </row>
    <row r="308" spans="9:9" x14ac:dyDescent="0.25">
      <c r="I308" s="36"/>
    </row>
    <row r="309" spans="9:9" x14ac:dyDescent="0.25">
      <c r="I309" s="36"/>
    </row>
    <row r="310" spans="9:9" x14ac:dyDescent="0.25">
      <c r="I310" s="36"/>
    </row>
    <row r="311" spans="9:9" x14ac:dyDescent="0.25">
      <c r="I311" s="36"/>
    </row>
    <row r="312" spans="9:9" x14ac:dyDescent="0.25">
      <c r="I312" s="36"/>
    </row>
    <row r="313" spans="9:9" x14ac:dyDescent="0.25">
      <c r="I313" s="36"/>
    </row>
    <row r="314" spans="9:9" x14ac:dyDescent="0.25">
      <c r="I314" s="36"/>
    </row>
    <row r="315" spans="9:9" x14ac:dyDescent="0.25">
      <c r="I315" s="36"/>
    </row>
    <row r="316" spans="9:9" x14ac:dyDescent="0.25">
      <c r="I316" s="36"/>
    </row>
    <row r="317" spans="9:9" x14ac:dyDescent="0.25">
      <c r="I317" s="36"/>
    </row>
    <row r="318" spans="9:9" x14ac:dyDescent="0.25">
      <c r="I318" s="36"/>
    </row>
    <row r="319" spans="9:9" x14ac:dyDescent="0.25">
      <c r="I319" s="36"/>
    </row>
    <row r="320" spans="9:9" x14ac:dyDescent="0.25">
      <c r="I320" s="36"/>
    </row>
    <row r="321" spans="9:9" x14ac:dyDescent="0.25">
      <c r="I321" s="36"/>
    </row>
    <row r="322" spans="9:9" x14ac:dyDescent="0.25">
      <c r="I322" s="36"/>
    </row>
    <row r="323" spans="9:9" x14ac:dyDescent="0.25">
      <c r="I323" s="36"/>
    </row>
    <row r="324" spans="9:9" x14ac:dyDescent="0.25">
      <c r="I324" s="36"/>
    </row>
    <row r="325" spans="9:9" x14ac:dyDescent="0.25">
      <c r="I325" s="36"/>
    </row>
    <row r="326" spans="9:9" x14ac:dyDescent="0.25">
      <c r="I326" s="36"/>
    </row>
    <row r="327" spans="9:9" x14ac:dyDescent="0.25">
      <c r="I327" s="36"/>
    </row>
    <row r="328" spans="9:9" x14ac:dyDescent="0.25">
      <c r="I328" s="36"/>
    </row>
    <row r="329" spans="9:9" x14ac:dyDescent="0.25">
      <c r="I329" s="36"/>
    </row>
    <row r="330" spans="9:9" x14ac:dyDescent="0.25">
      <c r="I330" s="36"/>
    </row>
    <row r="331" spans="9:9" x14ac:dyDescent="0.25">
      <c r="I331" s="36"/>
    </row>
    <row r="332" spans="9:9" x14ac:dyDescent="0.25">
      <c r="I332" s="36"/>
    </row>
    <row r="333" spans="9:9" x14ac:dyDescent="0.25">
      <c r="I333" s="36"/>
    </row>
    <row r="334" spans="9:9" x14ac:dyDescent="0.25">
      <c r="I334" s="36"/>
    </row>
    <row r="335" spans="9:9" x14ac:dyDescent="0.25">
      <c r="I335" s="36"/>
    </row>
    <row r="336" spans="9:9" x14ac:dyDescent="0.25">
      <c r="I336" s="36"/>
    </row>
    <row r="337" spans="9:9" x14ac:dyDescent="0.25">
      <c r="I337" s="36"/>
    </row>
    <row r="338" spans="9:9" x14ac:dyDescent="0.25">
      <c r="I338" s="36"/>
    </row>
    <row r="339" spans="9:9" x14ac:dyDescent="0.25">
      <c r="I339" s="36"/>
    </row>
    <row r="340" spans="9:9" x14ac:dyDescent="0.25">
      <c r="I340" s="36"/>
    </row>
    <row r="341" spans="9:9" x14ac:dyDescent="0.25">
      <c r="I341" s="36"/>
    </row>
    <row r="342" spans="9:9" x14ac:dyDescent="0.25">
      <c r="I342" s="36"/>
    </row>
    <row r="343" spans="9:9" x14ac:dyDescent="0.25">
      <c r="I343" s="36"/>
    </row>
    <row r="344" spans="9:9" x14ac:dyDescent="0.25">
      <c r="I344" s="36"/>
    </row>
    <row r="345" spans="9:9" x14ac:dyDescent="0.25">
      <c r="I345" s="36"/>
    </row>
    <row r="346" spans="9:9" x14ac:dyDescent="0.25">
      <c r="I346" s="36"/>
    </row>
    <row r="347" spans="9:9" x14ac:dyDescent="0.25">
      <c r="I347" s="36"/>
    </row>
    <row r="348" spans="9:9" x14ac:dyDescent="0.25">
      <c r="I348" s="36"/>
    </row>
    <row r="349" spans="9:9" x14ac:dyDescent="0.25">
      <c r="I349" s="36"/>
    </row>
    <row r="350" spans="9:9" x14ac:dyDescent="0.25">
      <c r="I350" s="36"/>
    </row>
    <row r="351" spans="9:9" x14ac:dyDescent="0.25">
      <c r="I351" s="36"/>
    </row>
    <row r="352" spans="9:9" x14ac:dyDescent="0.25">
      <c r="I352" s="36"/>
    </row>
    <row r="353" spans="9:9" x14ac:dyDescent="0.25">
      <c r="I353" s="36"/>
    </row>
    <row r="354" spans="9:9" x14ac:dyDescent="0.25">
      <c r="I354" s="36"/>
    </row>
    <row r="355" spans="9:9" x14ac:dyDescent="0.25">
      <c r="I355" s="36"/>
    </row>
    <row r="356" spans="9:9" x14ac:dyDescent="0.25">
      <c r="I356" s="36"/>
    </row>
    <row r="357" spans="9:9" x14ac:dyDescent="0.25">
      <c r="I357" s="36"/>
    </row>
    <row r="358" spans="9:9" x14ac:dyDescent="0.25">
      <c r="I358" s="36"/>
    </row>
    <row r="359" spans="9:9" x14ac:dyDescent="0.25">
      <c r="I359" s="36"/>
    </row>
    <row r="360" spans="9:9" x14ac:dyDescent="0.25">
      <c r="I360" s="36"/>
    </row>
    <row r="361" spans="9:9" x14ac:dyDescent="0.25">
      <c r="I361" s="36"/>
    </row>
    <row r="362" spans="9:9" x14ac:dyDescent="0.25">
      <c r="I362" s="36"/>
    </row>
    <row r="363" spans="9:9" x14ac:dyDescent="0.25">
      <c r="I363" s="36"/>
    </row>
    <row r="364" spans="9:9" x14ac:dyDescent="0.25">
      <c r="I364" s="36"/>
    </row>
    <row r="365" spans="9:9" x14ac:dyDescent="0.25">
      <c r="I365" s="36"/>
    </row>
    <row r="366" spans="9:9" x14ac:dyDescent="0.25">
      <c r="I366" s="36"/>
    </row>
    <row r="367" spans="9:9" x14ac:dyDescent="0.25">
      <c r="I367" s="36"/>
    </row>
    <row r="368" spans="9:9" x14ac:dyDescent="0.25">
      <c r="I368" s="36"/>
    </row>
    <row r="369" spans="9:9" x14ac:dyDescent="0.25">
      <c r="I369" s="36"/>
    </row>
    <row r="370" spans="9:9" x14ac:dyDescent="0.25">
      <c r="I370" s="36"/>
    </row>
    <row r="371" spans="9:9" x14ac:dyDescent="0.25">
      <c r="I371" s="36"/>
    </row>
    <row r="372" spans="9:9" x14ac:dyDescent="0.25">
      <c r="I372" s="36"/>
    </row>
    <row r="373" spans="9:9" x14ac:dyDescent="0.25">
      <c r="I373" s="36"/>
    </row>
    <row r="374" spans="9:9" x14ac:dyDescent="0.25">
      <c r="I374" s="36"/>
    </row>
    <row r="375" spans="9:9" x14ac:dyDescent="0.25">
      <c r="I375" s="36"/>
    </row>
    <row r="376" spans="9:9" x14ac:dyDescent="0.25">
      <c r="I376" s="36"/>
    </row>
    <row r="377" spans="9:9" x14ac:dyDescent="0.25">
      <c r="I377" s="36"/>
    </row>
    <row r="378" spans="9:9" x14ac:dyDescent="0.25">
      <c r="I378" s="36"/>
    </row>
    <row r="379" spans="9:9" x14ac:dyDescent="0.25">
      <c r="I379" s="36"/>
    </row>
    <row r="380" spans="9:9" x14ac:dyDescent="0.25">
      <c r="I380" s="36"/>
    </row>
    <row r="381" spans="9:9" x14ac:dyDescent="0.25">
      <c r="I381" s="36"/>
    </row>
    <row r="382" spans="9:9" x14ac:dyDescent="0.25">
      <c r="I382" s="36"/>
    </row>
    <row r="383" spans="9:9" x14ac:dyDescent="0.25">
      <c r="I383" s="36"/>
    </row>
    <row r="384" spans="9:9" x14ac:dyDescent="0.25">
      <c r="I384" s="36"/>
    </row>
    <row r="385" spans="9:9" x14ac:dyDescent="0.25">
      <c r="I385" s="36"/>
    </row>
    <row r="386" spans="9:9" x14ac:dyDescent="0.25">
      <c r="I386" s="36"/>
    </row>
    <row r="387" spans="9:9" x14ac:dyDescent="0.25">
      <c r="I387" s="36"/>
    </row>
    <row r="388" spans="9:9" x14ac:dyDescent="0.25">
      <c r="I388" s="36"/>
    </row>
    <row r="389" spans="9:9" x14ac:dyDescent="0.25">
      <c r="I389" s="36"/>
    </row>
    <row r="390" spans="9:9" x14ac:dyDescent="0.25">
      <c r="I390" s="36"/>
    </row>
    <row r="391" spans="9:9" x14ac:dyDescent="0.25">
      <c r="I391" s="36"/>
    </row>
    <row r="392" spans="9:9" x14ac:dyDescent="0.25">
      <c r="I392" s="36"/>
    </row>
    <row r="393" spans="9:9" x14ac:dyDescent="0.25">
      <c r="I393" s="36"/>
    </row>
    <row r="394" spans="9:9" x14ac:dyDescent="0.25">
      <c r="I394" s="36"/>
    </row>
    <row r="395" spans="9:9" x14ac:dyDescent="0.25">
      <c r="I395" s="36"/>
    </row>
    <row r="396" spans="9:9" x14ac:dyDescent="0.25">
      <c r="I396" s="36"/>
    </row>
    <row r="397" spans="9:9" x14ac:dyDescent="0.25">
      <c r="I397" s="36"/>
    </row>
    <row r="398" spans="9:9" x14ac:dyDescent="0.25">
      <c r="I398" s="36"/>
    </row>
    <row r="399" spans="9:9" x14ac:dyDescent="0.25">
      <c r="I399" s="36"/>
    </row>
    <row r="400" spans="9:9" x14ac:dyDescent="0.25">
      <c r="I400" s="36"/>
    </row>
    <row r="401" spans="9:9" x14ac:dyDescent="0.25">
      <c r="I401" s="36"/>
    </row>
    <row r="402" spans="9:9" x14ac:dyDescent="0.25">
      <c r="I402" s="36"/>
    </row>
    <row r="403" spans="9:9" x14ac:dyDescent="0.25">
      <c r="I403" s="36"/>
    </row>
    <row r="404" spans="9:9" x14ac:dyDescent="0.25">
      <c r="I404" s="36"/>
    </row>
    <row r="405" spans="9:9" x14ac:dyDescent="0.25">
      <c r="I405" s="36"/>
    </row>
    <row r="406" spans="9:9" x14ac:dyDescent="0.25">
      <c r="I406" s="36"/>
    </row>
    <row r="407" spans="9:9" x14ac:dyDescent="0.25">
      <c r="I407" s="36"/>
    </row>
    <row r="408" spans="9:9" x14ac:dyDescent="0.25">
      <c r="I408" s="36"/>
    </row>
    <row r="409" spans="9:9" x14ac:dyDescent="0.25">
      <c r="I409" s="36"/>
    </row>
    <row r="410" spans="9:9" x14ac:dyDescent="0.25">
      <c r="I410" s="36"/>
    </row>
    <row r="411" spans="9:9" x14ac:dyDescent="0.25">
      <c r="I411" s="36"/>
    </row>
    <row r="412" spans="9:9" x14ac:dyDescent="0.25">
      <c r="I412" s="36"/>
    </row>
    <row r="413" spans="9:9" x14ac:dyDescent="0.25">
      <c r="I413" s="36"/>
    </row>
    <row r="414" spans="9:9" x14ac:dyDescent="0.25">
      <c r="I414" s="36"/>
    </row>
    <row r="415" spans="9:9" x14ac:dyDescent="0.25">
      <c r="I415" s="36"/>
    </row>
    <row r="416" spans="9:9" x14ac:dyDescent="0.25">
      <c r="I416" s="36"/>
    </row>
  </sheetData>
  <mergeCells count="9">
    <mergeCell ref="M33:Q33"/>
    <mergeCell ref="B1:Q1"/>
    <mergeCell ref="N7:O7"/>
    <mergeCell ref="B5:E5"/>
    <mergeCell ref="F6:F7"/>
    <mergeCell ref="G6:G7"/>
    <mergeCell ref="H6:H7"/>
    <mergeCell ref="K6:K7"/>
    <mergeCell ref="L6:L7"/>
  </mergeCells>
  <printOptions horizontalCentered="1"/>
  <pageMargins left="0.7" right="0.7" top="1.1000000000000001" bottom="0.75" header="0.7" footer="0.3"/>
  <pageSetup scale="59" orientation="landscape" r:id="rId1"/>
  <headerFooter scaleWithDoc="0">
    <oddHeader>&amp;R&amp;"Times New Roman,Bold"&amp;8Docket No. 25-057-06
UAE Exhibit RR 1.4
Page 4 of 5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C2E53-C0F4-44C6-BC82-B6A9C9E94C58}">
  <sheetPr>
    <pageSetUpPr fitToPage="1"/>
  </sheetPr>
  <dimension ref="A1:T420"/>
  <sheetViews>
    <sheetView zoomScaleNormal="100" workbookViewId="0">
      <selection activeCell="H12" sqref="H12"/>
    </sheetView>
  </sheetViews>
  <sheetFormatPr defaultRowHeight="15" x14ac:dyDescent="0.25"/>
  <cols>
    <col min="1" max="1" width="7.7109375" customWidth="1"/>
    <col min="2" max="2" width="11.28515625" style="69" customWidth="1"/>
    <col min="3" max="3" width="15" style="69" customWidth="1"/>
    <col min="4" max="4" width="15.7109375" customWidth="1"/>
    <col min="5" max="5" width="15" customWidth="1"/>
    <col min="6" max="7" width="16.5703125" customWidth="1"/>
    <col min="8" max="8" width="13.28515625" customWidth="1"/>
    <col min="9" max="10" width="13.5703125" customWidth="1"/>
    <col min="11" max="11" width="12" bestFit="1" customWidth="1"/>
    <col min="12" max="12" width="12.5703125" customWidth="1"/>
    <col min="15" max="15" width="11.42578125" customWidth="1"/>
  </cols>
  <sheetData>
    <row r="1" spans="1:18" ht="20.25" x14ac:dyDescent="0.3">
      <c r="A1" s="4" t="s">
        <v>200</v>
      </c>
      <c r="B1" s="282" t="s">
        <v>190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168"/>
    </row>
    <row r="2" spans="1:18" x14ac:dyDescent="0.25">
      <c r="A2" s="22" t="s">
        <v>43</v>
      </c>
      <c r="B2" s="24"/>
      <c r="C2" s="24"/>
      <c r="D2" s="34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ht="18" x14ac:dyDescent="0.25">
      <c r="A3" s="4">
        <v>1</v>
      </c>
      <c r="B3" s="24"/>
      <c r="C3" s="187" t="s">
        <v>191</v>
      </c>
      <c r="D3" s="191"/>
      <c r="E3" s="188">
        <v>2.7594712789940062E-2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18.75" thickBot="1" x14ac:dyDescent="0.3">
      <c r="A4" s="4">
        <v>2</v>
      </c>
      <c r="B4" s="24"/>
      <c r="C4" s="189" t="s">
        <v>179</v>
      </c>
      <c r="D4" s="76"/>
      <c r="E4" s="190">
        <v>3.04E-2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15.75" thickBot="1" x14ac:dyDescent="0.3">
      <c r="A5" s="4">
        <v>3</v>
      </c>
      <c r="B5" s="283" t="s">
        <v>192</v>
      </c>
      <c r="C5" s="284"/>
      <c r="D5" s="284"/>
      <c r="E5" s="285"/>
      <c r="F5" s="1"/>
      <c r="G5" s="183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ht="18" customHeight="1" x14ac:dyDescent="0.25">
      <c r="A6" s="4">
        <v>4</v>
      </c>
      <c r="B6" s="101"/>
      <c r="C6" s="173"/>
      <c r="D6" s="99"/>
      <c r="E6" s="174"/>
      <c r="F6" s="286" t="s">
        <v>58</v>
      </c>
      <c r="G6" s="288" t="s">
        <v>68</v>
      </c>
      <c r="H6" s="288" t="s">
        <v>66</v>
      </c>
      <c r="I6" s="97">
        <v>0.21</v>
      </c>
      <c r="J6" s="98">
        <v>4.3671630000000003E-2</v>
      </c>
      <c r="K6" s="288" t="s">
        <v>206</v>
      </c>
      <c r="L6" s="290" t="s">
        <v>57</v>
      </c>
      <c r="M6" s="1"/>
      <c r="N6" s="49"/>
      <c r="O6" s="50"/>
      <c r="P6" s="1"/>
      <c r="Q6" s="1"/>
    </row>
    <row r="7" spans="1:18" ht="51" customHeight="1" x14ac:dyDescent="0.25">
      <c r="A7" s="4">
        <v>5</v>
      </c>
      <c r="B7" s="101" t="s">
        <v>39</v>
      </c>
      <c r="C7" s="175" t="s">
        <v>181</v>
      </c>
      <c r="D7" s="176" t="s">
        <v>72</v>
      </c>
      <c r="E7" s="169" t="s">
        <v>69</v>
      </c>
      <c r="F7" s="287"/>
      <c r="G7" s="289"/>
      <c r="H7" s="289"/>
      <c r="I7" s="96" t="s">
        <v>70</v>
      </c>
      <c r="J7" s="96" t="s">
        <v>71</v>
      </c>
      <c r="K7" s="289"/>
      <c r="L7" s="291"/>
      <c r="M7" s="1"/>
      <c r="N7" s="280" t="s">
        <v>178</v>
      </c>
      <c r="O7" s="281"/>
      <c r="P7" s="1"/>
      <c r="Q7" s="1"/>
    </row>
    <row r="8" spans="1:18" x14ac:dyDescent="0.25">
      <c r="A8" s="4">
        <v>6</v>
      </c>
      <c r="B8" s="65">
        <v>45627</v>
      </c>
      <c r="C8" s="177">
        <v>0</v>
      </c>
      <c r="D8" s="59">
        <f>C8</f>
        <v>0</v>
      </c>
      <c r="E8" s="106">
        <v>0</v>
      </c>
      <c r="F8" s="62">
        <v>0</v>
      </c>
      <c r="G8" s="61"/>
      <c r="H8" s="61"/>
      <c r="I8" s="61"/>
      <c r="J8" s="61"/>
      <c r="K8" s="61"/>
      <c r="L8" s="61"/>
      <c r="M8" s="1"/>
      <c r="N8" s="25" t="s">
        <v>54</v>
      </c>
      <c r="O8" s="46">
        <v>3.7499999999999999E-2</v>
      </c>
      <c r="P8" s="1"/>
      <c r="Q8" s="1"/>
    </row>
    <row r="9" spans="1:18" x14ac:dyDescent="0.25">
      <c r="A9" s="4">
        <f>A8+1</f>
        <v>7</v>
      </c>
      <c r="B9" s="66">
        <v>45658</v>
      </c>
      <c r="C9" s="177">
        <v>200624.18</v>
      </c>
      <c r="D9" s="59">
        <f>D8+C9</f>
        <v>200624.18</v>
      </c>
      <c r="E9" s="72">
        <f t="shared" ref="E9:E20" si="0">D9*($E$3/12)</f>
        <v>461.34721881810304</v>
      </c>
      <c r="F9" s="56">
        <f>-E9</f>
        <v>-461.34721881810304</v>
      </c>
      <c r="G9" s="59"/>
      <c r="H9" s="59"/>
      <c r="I9" s="56">
        <f>$I$21/12</f>
        <v>-1057.9324073420173</v>
      </c>
      <c r="J9" s="56">
        <f>$J$21/12</f>
        <v>-230.05463548472054</v>
      </c>
      <c r="K9" s="56">
        <f>I9</f>
        <v>-1057.9324073420173</v>
      </c>
      <c r="L9" s="56">
        <f>J9</f>
        <v>-230.05463548472054</v>
      </c>
      <c r="M9" s="1"/>
      <c r="N9" s="47" t="s">
        <v>55</v>
      </c>
      <c r="O9" s="48">
        <v>7.2190000000000004E-2</v>
      </c>
      <c r="P9" s="1"/>
      <c r="Q9" s="1"/>
    </row>
    <row r="10" spans="1:18" x14ac:dyDescent="0.25">
      <c r="A10" s="4">
        <f t="shared" ref="A10:A21" si="1">A9+1</f>
        <v>8</v>
      </c>
      <c r="B10" s="66">
        <v>45689</v>
      </c>
      <c r="C10" s="177">
        <v>249582.49</v>
      </c>
      <c r="D10" s="59">
        <f t="shared" ref="D10:D20" si="2">D9+C10</f>
        <v>450206.67</v>
      </c>
      <c r="E10" s="72">
        <f t="shared" si="0"/>
        <v>1035.2769795637769</v>
      </c>
      <c r="F10" s="56">
        <f t="shared" ref="F10:F20" si="3">F9-E10</f>
        <v>-1496.62419838188</v>
      </c>
      <c r="G10" s="59"/>
      <c r="H10" s="59"/>
      <c r="I10" s="56">
        <f t="shared" ref="I10:I20" si="4">$I$21/12</f>
        <v>-1057.9324073420173</v>
      </c>
      <c r="J10" s="56">
        <f t="shared" ref="J10:J20" si="5">$J$21/12</f>
        <v>-230.05463548472054</v>
      </c>
      <c r="K10" s="56">
        <f t="shared" ref="K10:L20" si="6">K9+I10</f>
        <v>-2115.8648146840346</v>
      </c>
      <c r="L10" s="59">
        <f t="shared" si="6"/>
        <v>-460.10927096944107</v>
      </c>
      <c r="M10" s="1"/>
      <c r="N10" s="1"/>
      <c r="O10" s="1"/>
      <c r="P10" s="1"/>
      <c r="Q10" s="1"/>
    </row>
    <row r="11" spans="1:18" x14ac:dyDescent="0.25">
      <c r="A11" s="4">
        <f t="shared" si="1"/>
        <v>9</v>
      </c>
      <c r="B11" s="66">
        <v>45717</v>
      </c>
      <c r="C11" s="177">
        <v>156360.82999999999</v>
      </c>
      <c r="D11" s="59">
        <f t="shared" si="2"/>
        <v>606567.5</v>
      </c>
      <c r="E11" s="72">
        <f t="shared" si="0"/>
        <v>1394.8379958509972</v>
      </c>
      <c r="F11" s="56">
        <f t="shared" si="3"/>
        <v>-2891.4621942328772</v>
      </c>
      <c r="G11" s="59"/>
      <c r="H11" s="59"/>
      <c r="I11" s="56">
        <f t="shared" si="4"/>
        <v>-1057.9324073420173</v>
      </c>
      <c r="J11" s="56">
        <f t="shared" si="5"/>
        <v>-230.05463548472054</v>
      </c>
      <c r="K11" s="56">
        <f t="shared" si="6"/>
        <v>-3173.7972220260517</v>
      </c>
      <c r="L11" s="59">
        <f t="shared" si="6"/>
        <v>-690.16390645416163</v>
      </c>
      <c r="M11" s="1"/>
      <c r="N11" s="1"/>
      <c r="O11" s="1"/>
      <c r="P11" s="1"/>
      <c r="Q11" s="1"/>
    </row>
    <row r="12" spans="1:18" x14ac:dyDescent="0.25">
      <c r="A12" s="4">
        <f t="shared" si="1"/>
        <v>10</v>
      </c>
      <c r="B12" s="66">
        <v>45748</v>
      </c>
      <c r="C12" s="177">
        <v>193444.05</v>
      </c>
      <c r="D12" s="59">
        <f t="shared" si="2"/>
        <v>800011.55</v>
      </c>
      <c r="E12" s="72">
        <f t="shared" si="0"/>
        <v>1839.6740792403978</v>
      </c>
      <c r="F12" s="56">
        <f t="shared" si="3"/>
        <v>-4731.1362734732747</v>
      </c>
      <c r="G12" s="59"/>
      <c r="H12" s="59"/>
      <c r="I12" s="56">
        <f t="shared" si="4"/>
        <v>-1057.9324073420173</v>
      </c>
      <c r="J12" s="56">
        <f t="shared" si="5"/>
        <v>-230.05463548472054</v>
      </c>
      <c r="K12" s="56">
        <f t="shared" si="6"/>
        <v>-4231.7296293680693</v>
      </c>
      <c r="L12" s="59">
        <f t="shared" si="6"/>
        <v>-920.21854193888214</v>
      </c>
      <c r="M12" s="1"/>
      <c r="N12" s="1"/>
      <c r="O12" s="1"/>
      <c r="P12" s="1"/>
      <c r="Q12" s="1"/>
    </row>
    <row r="13" spans="1:18" x14ac:dyDescent="0.25">
      <c r="A13" s="4">
        <f t="shared" si="1"/>
        <v>11</v>
      </c>
      <c r="B13" s="66">
        <v>45778</v>
      </c>
      <c r="C13" s="177">
        <v>190270.43</v>
      </c>
      <c r="D13" s="59">
        <f t="shared" si="2"/>
        <v>990281.98</v>
      </c>
      <c r="E13" s="72">
        <f t="shared" si="0"/>
        <v>2277.2122349294305</v>
      </c>
      <c r="F13" s="56">
        <f t="shared" si="3"/>
        <v>-7008.3485084027052</v>
      </c>
      <c r="G13" s="59"/>
      <c r="H13" s="59"/>
      <c r="I13" s="56">
        <f t="shared" si="4"/>
        <v>-1057.9324073420173</v>
      </c>
      <c r="J13" s="56">
        <f t="shared" si="5"/>
        <v>-230.05463548472054</v>
      </c>
      <c r="K13" s="56">
        <f t="shared" si="6"/>
        <v>-5289.6620367100868</v>
      </c>
      <c r="L13" s="59">
        <f t="shared" si="6"/>
        <v>-1150.2731774236026</v>
      </c>
      <c r="M13" s="1"/>
      <c r="N13" s="1"/>
      <c r="O13" s="1"/>
      <c r="P13" s="1"/>
      <c r="Q13" s="1"/>
    </row>
    <row r="14" spans="1:18" x14ac:dyDescent="0.25">
      <c r="A14" s="4">
        <f t="shared" si="1"/>
        <v>12</v>
      </c>
      <c r="B14" s="66">
        <v>45809</v>
      </c>
      <c r="C14" s="177">
        <v>216989.47</v>
      </c>
      <c r="D14" s="59">
        <f t="shared" si="2"/>
        <v>1207271.45</v>
      </c>
      <c r="E14" s="72">
        <f t="shared" si="0"/>
        <v>2776.19241018704</v>
      </c>
      <c r="F14" s="56">
        <f t="shared" si="3"/>
        <v>-9784.5409185897443</v>
      </c>
      <c r="G14" s="59"/>
      <c r="H14" s="59"/>
      <c r="I14" s="56">
        <f t="shared" si="4"/>
        <v>-1057.9324073420173</v>
      </c>
      <c r="J14" s="56">
        <f t="shared" si="5"/>
        <v>-230.05463548472054</v>
      </c>
      <c r="K14" s="56">
        <f t="shared" si="6"/>
        <v>-6347.5944440521043</v>
      </c>
      <c r="L14" s="59">
        <f t="shared" si="6"/>
        <v>-1380.3278129083233</v>
      </c>
      <c r="M14" s="1"/>
      <c r="N14" s="1"/>
      <c r="O14" s="1"/>
      <c r="P14" s="1"/>
      <c r="Q14" s="1"/>
    </row>
    <row r="15" spans="1:18" x14ac:dyDescent="0.25">
      <c r="A15" s="4">
        <f t="shared" si="1"/>
        <v>13</v>
      </c>
      <c r="B15" s="66">
        <v>45839</v>
      </c>
      <c r="C15" s="177">
        <v>242468.25</v>
      </c>
      <c r="D15" s="59">
        <f t="shared" si="2"/>
        <v>1449739.7</v>
      </c>
      <c r="E15" s="72">
        <f t="shared" si="0"/>
        <v>3333.7625534728222</v>
      </c>
      <c r="F15" s="56">
        <f t="shared" si="3"/>
        <v>-13118.303472062566</v>
      </c>
      <c r="G15" s="59"/>
      <c r="H15" s="59"/>
      <c r="I15" s="56">
        <f t="shared" si="4"/>
        <v>-1057.9324073420173</v>
      </c>
      <c r="J15" s="56">
        <f t="shared" si="5"/>
        <v>-230.05463548472054</v>
      </c>
      <c r="K15" s="56">
        <f t="shared" si="6"/>
        <v>-7405.5268513941219</v>
      </c>
      <c r="L15" s="59">
        <f t="shared" si="6"/>
        <v>-1610.3824483930439</v>
      </c>
      <c r="M15" s="1"/>
      <c r="N15" s="1"/>
      <c r="O15" s="33"/>
      <c r="P15" s="1"/>
      <c r="Q15" s="1"/>
    </row>
    <row r="16" spans="1:18" x14ac:dyDescent="0.25">
      <c r="A16" s="4">
        <f t="shared" si="1"/>
        <v>14</v>
      </c>
      <c r="B16" s="66">
        <v>45870</v>
      </c>
      <c r="C16" s="177">
        <v>204412.27</v>
      </c>
      <c r="D16" s="59">
        <f t="shared" si="2"/>
        <v>1654151.97</v>
      </c>
      <c r="E16" s="72">
        <f t="shared" si="0"/>
        <v>3803.8207102552956</v>
      </c>
      <c r="F16" s="56">
        <f t="shared" si="3"/>
        <v>-16922.124182317861</v>
      </c>
      <c r="G16" s="59"/>
      <c r="H16" s="59"/>
      <c r="I16" s="56">
        <f t="shared" si="4"/>
        <v>-1057.9324073420173</v>
      </c>
      <c r="J16" s="56">
        <f t="shared" si="5"/>
        <v>-230.05463548472054</v>
      </c>
      <c r="K16" s="56">
        <f t="shared" si="6"/>
        <v>-8463.4592587361385</v>
      </c>
      <c r="L16" s="59">
        <f t="shared" si="6"/>
        <v>-1840.4370838777645</v>
      </c>
      <c r="M16" s="1"/>
      <c r="N16" s="1"/>
      <c r="O16" s="1"/>
      <c r="P16" s="1"/>
      <c r="Q16" s="1"/>
    </row>
    <row r="17" spans="1:17" x14ac:dyDescent="0.25">
      <c r="A17" s="4">
        <f t="shared" si="1"/>
        <v>15</v>
      </c>
      <c r="B17" s="66">
        <v>45901</v>
      </c>
      <c r="C17" s="177">
        <v>177201.4</v>
      </c>
      <c r="D17" s="59">
        <f t="shared" si="2"/>
        <v>1831353.3699999999</v>
      </c>
      <c r="E17" s="72">
        <f t="shared" si="0"/>
        <v>4211.3058551699023</v>
      </c>
      <c r="F17" s="56">
        <f t="shared" si="3"/>
        <v>-21133.430037487764</v>
      </c>
      <c r="G17" s="59"/>
      <c r="H17" s="59"/>
      <c r="I17" s="56">
        <f t="shared" si="4"/>
        <v>-1057.9324073420173</v>
      </c>
      <c r="J17" s="56">
        <f t="shared" si="5"/>
        <v>-230.05463548472054</v>
      </c>
      <c r="K17" s="56">
        <f t="shared" si="6"/>
        <v>-9521.391666078156</v>
      </c>
      <c r="L17" s="59">
        <f t="shared" si="6"/>
        <v>-2070.4917193624851</v>
      </c>
      <c r="M17" s="1"/>
      <c r="N17" s="1"/>
      <c r="O17" s="41"/>
      <c r="P17" s="1"/>
      <c r="Q17" s="1"/>
    </row>
    <row r="18" spans="1:17" x14ac:dyDescent="0.25">
      <c r="A18" s="4">
        <f t="shared" si="1"/>
        <v>16</v>
      </c>
      <c r="B18" s="66">
        <v>45931</v>
      </c>
      <c r="C18" s="177">
        <v>246406.72</v>
      </c>
      <c r="D18" s="59">
        <f t="shared" si="2"/>
        <v>2077760.0899999999</v>
      </c>
      <c r="E18" s="72">
        <f t="shared" si="0"/>
        <v>4777.9327441625001</v>
      </c>
      <c r="F18" s="56">
        <f t="shared" si="3"/>
        <v>-25911.362781650263</v>
      </c>
      <c r="G18" s="59"/>
      <c r="H18" s="59"/>
      <c r="I18" s="56">
        <f t="shared" si="4"/>
        <v>-1057.9324073420173</v>
      </c>
      <c r="J18" s="56">
        <f t="shared" si="5"/>
        <v>-230.05463548472054</v>
      </c>
      <c r="K18" s="56">
        <f t="shared" si="6"/>
        <v>-10579.324073420174</v>
      </c>
      <c r="L18" s="59">
        <f t="shared" si="6"/>
        <v>-2300.5463548472057</v>
      </c>
      <c r="M18" s="1"/>
      <c r="N18" s="1"/>
      <c r="O18" s="1"/>
      <c r="P18" s="1"/>
      <c r="Q18" s="1"/>
    </row>
    <row r="19" spans="1:17" x14ac:dyDescent="0.25">
      <c r="A19" s="4">
        <f t="shared" si="1"/>
        <v>17</v>
      </c>
      <c r="B19" s="66">
        <v>45962</v>
      </c>
      <c r="C19" s="177">
        <v>215473.01</v>
      </c>
      <c r="D19" s="59">
        <f t="shared" si="2"/>
        <v>2293233.0999999996</v>
      </c>
      <c r="E19" s="72">
        <f t="shared" si="0"/>
        <v>5273.425729573657</v>
      </c>
      <c r="F19" s="56">
        <f t="shared" si="3"/>
        <v>-31184.78851122392</v>
      </c>
      <c r="G19" s="59"/>
      <c r="H19" s="59"/>
      <c r="I19" s="56">
        <f t="shared" si="4"/>
        <v>-1057.9324073420173</v>
      </c>
      <c r="J19" s="56">
        <f t="shared" si="5"/>
        <v>-230.05463548472054</v>
      </c>
      <c r="K19" s="56">
        <f t="shared" si="6"/>
        <v>-11637.256480762191</v>
      </c>
      <c r="L19" s="59">
        <f t="shared" si="6"/>
        <v>-2530.6009903319264</v>
      </c>
      <c r="M19" s="1"/>
      <c r="N19" s="1"/>
      <c r="O19" s="1"/>
      <c r="P19" s="1"/>
      <c r="Q19" s="1"/>
    </row>
    <row r="20" spans="1:17" x14ac:dyDescent="0.25">
      <c r="A20" s="4">
        <f t="shared" si="1"/>
        <v>18</v>
      </c>
      <c r="B20" s="66">
        <v>45992</v>
      </c>
      <c r="C20" s="177">
        <v>388515.28</v>
      </c>
      <c r="D20" s="59">
        <f t="shared" si="2"/>
        <v>2681748.38</v>
      </c>
      <c r="E20" s="72">
        <f t="shared" si="0"/>
        <v>6166.8396934155862</v>
      </c>
      <c r="F20" s="56">
        <f t="shared" si="3"/>
        <v>-37351.628204639506</v>
      </c>
      <c r="G20" s="59"/>
      <c r="H20" s="59"/>
      <c r="I20" s="56">
        <f t="shared" si="4"/>
        <v>-1057.9324073420173</v>
      </c>
      <c r="J20" s="56">
        <f t="shared" si="5"/>
        <v>-230.05463548472054</v>
      </c>
      <c r="K20" s="56">
        <f t="shared" si="6"/>
        <v>-12695.188888104209</v>
      </c>
      <c r="L20" s="59">
        <f t="shared" si="6"/>
        <v>-2760.655625816647</v>
      </c>
      <c r="M20" s="268" t="s">
        <v>194</v>
      </c>
      <c r="N20" s="292"/>
      <c r="O20" s="292"/>
      <c r="P20" s="292"/>
      <c r="Q20" s="269"/>
    </row>
    <row r="21" spans="1:17" x14ac:dyDescent="0.25">
      <c r="A21" s="4">
        <f t="shared" si="1"/>
        <v>19</v>
      </c>
      <c r="B21" s="73" t="s">
        <v>183</v>
      </c>
      <c r="C21" s="73"/>
      <c r="D21" s="74">
        <f>D20</f>
        <v>2681748.38</v>
      </c>
      <c r="E21" s="74">
        <f>SUM(E9:E20)</f>
        <v>37351.628204639506</v>
      </c>
      <c r="F21" s="64">
        <f>F20</f>
        <v>-37351.628204639506</v>
      </c>
      <c r="G21" s="74">
        <f>D21*O8</f>
        <v>100565.56425</v>
      </c>
      <c r="H21" s="74">
        <f>E21-G21</f>
        <v>-63213.93604536049</v>
      </c>
      <c r="I21" s="64">
        <f>(H21-J21)*$I$6</f>
        <v>-12695.188888104207</v>
      </c>
      <c r="J21" s="64">
        <f>H21*$J$6</f>
        <v>-2760.6556258166465</v>
      </c>
      <c r="K21" s="64">
        <f>K20</f>
        <v>-12695.188888104209</v>
      </c>
      <c r="L21" s="74">
        <f>L20</f>
        <v>-2760.655625816647</v>
      </c>
      <c r="M21" s="178" t="s">
        <v>61</v>
      </c>
      <c r="N21" s="178" t="s">
        <v>51</v>
      </c>
      <c r="O21" s="55" t="s">
        <v>60</v>
      </c>
      <c r="P21" s="55">
        <v>365</v>
      </c>
      <c r="Q21" s="179" t="s">
        <v>59</v>
      </c>
    </row>
    <row r="22" spans="1:17" x14ac:dyDescent="0.25">
      <c r="A22" s="4">
        <v>20</v>
      </c>
      <c r="B22" s="66">
        <v>46023</v>
      </c>
      <c r="C22" s="66"/>
      <c r="D22" s="59">
        <f>$D$20</f>
        <v>2681748.38</v>
      </c>
      <c r="E22" s="72">
        <f t="shared" ref="E22:E33" si="7">D22*($E$4/12)</f>
        <v>6793.7625626666659</v>
      </c>
      <c r="F22" s="56">
        <f>F20-E22</f>
        <v>-44145.390767306169</v>
      </c>
      <c r="G22" s="56"/>
      <c r="H22" s="180"/>
      <c r="I22" s="71">
        <f>$I$34/12</f>
        <v>-1875.5795390822639</v>
      </c>
      <c r="J22" s="63">
        <f>$J$34/12</f>
        <v>-407.85759486302987</v>
      </c>
      <c r="K22" s="56">
        <f>K21+M22</f>
        <v>-14416.611204796149</v>
      </c>
      <c r="L22" s="56">
        <f>L20+N22</f>
        <v>-3134.9906786361403</v>
      </c>
      <c r="M22" s="56">
        <f>(I22*Q22)</f>
        <v>-1721.4223166919408</v>
      </c>
      <c r="N22" s="59">
        <f t="shared" ref="N22:N33" si="8">J22*Q22</f>
        <v>-374.33505281949317</v>
      </c>
      <c r="O22" s="52">
        <v>31</v>
      </c>
      <c r="P22" s="52">
        <f>P21-O22+1</f>
        <v>335</v>
      </c>
      <c r="Q22" s="51">
        <f>P22/$P$21</f>
        <v>0.9178082191780822</v>
      </c>
    </row>
    <row r="23" spans="1:17" x14ac:dyDescent="0.25">
      <c r="A23" s="4">
        <f>A22+1</f>
        <v>21</v>
      </c>
      <c r="B23" s="66">
        <v>46054</v>
      </c>
      <c r="C23" s="66"/>
      <c r="D23" s="59">
        <f t="shared" ref="D23:D33" si="9">$D$20</f>
        <v>2681748.38</v>
      </c>
      <c r="E23" s="72">
        <f t="shared" si="7"/>
        <v>6793.7625626666659</v>
      </c>
      <c r="F23" s="56">
        <f t="shared" ref="F23:F33" si="10">F22-E23</f>
        <v>-50939.153329972833</v>
      </c>
      <c r="G23" s="56"/>
      <c r="H23" s="180"/>
      <c r="I23" s="56">
        <f t="shared" ref="I23:I33" si="11">$I$34/12</f>
        <v>-1875.5795390822639</v>
      </c>
      <c r="J23" s="63">
        <f t="shared" ref="J23:J33" si="12">$J$34/12</f>
        <v>-407.85759486302987</v>
      </c>
      <c r="K23" s="56">
        <f t="shared" ref="K23:L33" si="13">K22+M23</f>
        <v>-15994.153447257122</v>
      </c>
      <c r="L23" s="56">
        <f t="shared" si="13"/>
        <v>-3478.0380255483324</v>
      </c>
      <c r="M23" s="56">
        <f t="shared" ref="M23:M33" si="14">I23*Q23</f>
        <v>-1577.5422424609726</v>
      </c>
      <c r="N23" s="59">
        <f t="shared" si="8"/>
        <v>-343.04734691219227</v>
      </c>
      <c r="O23" s="52">
        <v>28</v>
      </c>
      <c r="P23" s="52">
        <f>P22-O23</f>
        <v>307</v>
      </c>
      <c r="Q23" s="51">
        <f t="shared" ref="Q23:Q33" si="15">P23/$P$21</f>
        <v>0.84109589041095889</v>
      </c>
    </row>
    <row r="24" spans="1:17" x14ac:dyDescent="0.25">
      <c r="A24" s="4">
        <f t="shared" ref="A24:A34" si="16">A23+1</f>
        <v>22</v>
      </c>
      <c r="B24" s="66">
        <v>46082</v>
      </c>
      <c r="C24" s="66"/>
      <c r="D24" s="59">
        <f t="shared" si="9"/>
        <v>2681748.38</v>
      </c>
      <c r="E24" s="72">
        <f t="shared" si="7"/>
        <v>6793.7625626666659</v>
      </c>
      <c r="F24" s="56">
        <f t="shared" si="10"/>
        <v>-57732.915892639496</v>
      </c>
      <c r="G24" s="56"/>
      <c r="H24" s="180"/>
      <c r="I24" s="56">
        <f t="shared" si="11"/>
        <v>-1875.5795390822639</v>
      </c>
      <c r="J24" s="63">
        <f t="shared" si="12"/>
        <v>-407.85759486302987</v>
      </c>
      <c r="K24" s="56">
        <f t="shared" si="13"/>
        <v>-17412.399893248094</v>
      </c>
      <c r="L24" s="56">
        <f t="shared" si="13"/>
        <v>-3786.4454123488699</v>
      </c>
      <c r="M24" s="56">
        <f t="shared" si="14"/>
        <v>-1418.2464459909722</v>
      </c>
      <c r="N24" s="59">
        <f t="shared" si="8"/>
        <v>-308.40738680053767</v>
      </c>
      <c r="O24" s="52">
        <v>31</v>
      </c>
      <c r="P24" s="52">
        <f t="shared" ref="P24:P33" si="17">P23-O24</f>
        <v>276</v>
      </c>
      <c r="Q24" s="51">
        <f t="shared" si="15"/>
        <v>0.75616438356164384</v>
      </c>
    </row>
    <row r="25" spans="1:17" x14ac:dyDescent="0.25">
      <c r="A25" s="4">
        <f t="shared" si="16"/>
        <v>23</v>
      </c>
      <c r="B25" s="66">
        <v>46113</v>
      </c>
      <c r="C25" s="66"/>
      <c r="D25" s="59">
        <f t="shared" si="9"/>
        <v>2681748.38</v>
      </c>
      <c r="E25" s="72">
        <f t="shared" si="7"/>
        <v>6793.7625626666659</v>
      </c>
      <c r="F25" s="56">
        <f t="shared" si="10"/>
        <v>-64526.678455306159</v>
      </c>
      <c r="G25" s="56"/>
      <c r="H25" s="180"/>
      <c r="I25" s="56">
        <f t="shared" si="11"/>
        <v>-1875.5795390822639</v>
      </c>
      <c r="J25" s="63">
        <f t="shared" si="12"/>
        <v>-407.85759486302987</v>
      </c>
      <c r="K25" s="56">
        <f t="shared" si="13"/>
        <v>-18676.489116848741</v>
      </c>
      <c r="L25" s="56">
        <f t="shared" si="13"/>
        <v>-4061.3302571058707</v>
      </c>
      <c r="M25" s="56">
        <f t="shared" si="14"/>
        <v>-1264.0892236006491</v>
      </c>
      <c r="N25" s="59">
        <f t="shared" si="8"/>
        <v>-274.88484475700096</v>
      </c>
      <c r="O25" s="52">
        <v>30</v>
      </c>
      <c r="P25" s="52">
        <f t="shared" si="17"/>
        <v>246</v>
      </c>
      <c r="Q25" s="51">
        <f t="shared" si="15"/>
        <v>0.67397260273972603</v>
      </c>
    </row>
    <row r="26" spans="1:17" x14ac:dyDescent="0.25">
      <c r="A26" s="4">
        <f t="shared" si="16"/>
        <v>24</v>
      </c>
      <c r="B26" s="66">
        <v>46143</v>
      </c>
      <c r="C26" s="66"/>
      <c r="D26" s="59">
        <f t="shared" si="9"/>
        <v>2681748.38</v>
      </c>
      <c r="E26" s="72">
        <f t="shared" si="7"/>
        <v>6793.7625626666659</v>
      </c>
      <c r="F26" s="56">
        <f t="shared" si="10"/>
        <v>-71320.441017972829</v>
      </c>
      <c r="G26" s="56"/>
      <c r="H26" s="180"/>
      <c r="I26" s="56">
        <f t="shared" si="11"/>
        <v>-1875.5795390822639</v>
      </c>
      <c r="J26" s="63">
        <f t="shared" si="12"/>
        <v>-407.85759486302987</v>
      </c>
      <c r="K26" s="56">
        <f t="shared" si="13"/>
        <v>-19781.282543979389</v>
      </c>
      <c r="L26" s="56">
        <f t="shared" si="13"/>
        <v>-4301.5751417512174</v>
      </c>
      <c r="M26" s="56">
        <f t="shared" si="14"/>
        <v>-1104.7934271306485</v>
      </c>
      <c r="N26" s="59">
        <f t="shared" si="8"/>
        <v>-240.24488464534636</v>
      </c>
      <c r="O26" s="52">
        <v>31</v>
      </c>
      <c r="P26" s="52">
        <f t="shared" si="17"/>
        <v>215</v>
      </c>
      <c r="Q26" s="51">
        <f t="shared" si="15"/>
        <v>0.58904109589041098</v>
      </c>
    </row>
    <row r="27" spans="1:17" x14ac:dyDescent="0.25">
      <c r="A27" s="4">
        <f t="shared" si="16"/>
        <v>25</v>
      </c>
      <c r="B27" s="66">
        <v>46174</v>
      </c>
      <c r="C27" s="66"/>
      <c r="D27" s="59">
        <f t="shared" si="9"/>
        <v>2681748.38</v>
      </c>
      <c r="E27" s="72">
        <f t="shared" si="7"/>
        <v>6793.7625626666659</v>
      </c>
      <c r="F27" s="56">
        <f t="shared" si="10"/>
        <v>-78114.2035806395</v>
      </c>
      <c r="G27" s="56"/>
      <c r="H27" s="180"/>
      <c r="I27" s="56">
        <f t="shared" si="11"/>
        <v>-1875.5795390822639</v>
      </c>
      <c r="J27" s="63">
        <f t="shared" si="12"/>
        <v>-407.85759486302987</v>
      </c>
      <c r="K27" s="56">
        <f t="shared" si="13"/>
        <v>-20731.918748719716</v>
      </c>
      <c r="L27" s="56">
        <f t="shared" si="13"/>
        <v>-4508.2974843530274</v>
      </c>
      <c r="M27" s="56">
        <f t="shared" si="14"/>
        <v>-950.63620474032552</v>
      </c>
      <c r="N27" s="59">
        <f t="shared" si="8"/>
        <v>-206.72234260180969</v>
      </c>
      <c r="O27" s="52">
        <v>30</v>
      </c>
      <c r="P27" s="52">
        <f t="shared" si="17"/>
        <v>185</v>
      </c>
      <c r="Q27" s="51">
        <f t="shared" si="15"/>
        <v>0.50684931506849318</v>
      </c>
    </row>
    <row r="28" spans="1:17" x14ac:dyDescent="0.25">
      <c r="A28" s="4">
        <f t="shared" si="16"/>
        <v>26</v>
      </c>
      <c r="B28" s="66">
        <v>46204</v>
      </c>
      <c r="C28" s="66"/>
      <c r="D28" s="59">
        <f t="shared" si="9"/>
        <v>2681748.38</v>
      </c>
      <c r="E28" s="72">
        <f t="shared" si="7"/>
        <v>6793.7625626666659</v>
      </c>
      <c r="F28" s="56">
        <f t="shared" si="10"/>
        <v>-84907.96614330617</v>
      </c>
      <c r="G28" s="56"/>
      <c r="H28" s="180"/>
      <c r="I28" s="56">
        <f t="shared" si="11"/>
        <v>-1875.5795390822639</v>
      </c>
      <c r="J28" s="63">
        <f t="shared" si="12"/>
        <v>-407.85759486302987</v>
      </c>
      <c r="K28" s="56">
        <f t="shared" si="13"/>
        <v>-21523.25915699004</v>
      </c>
      <c r="L28" s="56">
        <f t="shared" si="13"/>
        <v>-4680.3798668431828</v>
      </c>
      <c r="M28" s="56">
        <f t="shared" si="14"/>
        <v>-791.34040827032504</v>
      </c>
      <c r="N28" s="59">
        <f t="shared" si="8"/>
        <v>-172.08238249015506</v>
      </c>
      <c r="O28" s="52">
        <v>31</v>
      </c>
      <c r="P28" s="52">
        <f t="shared" si="17"/>
        <v>154</v>
      </c>
      <c r="Q28" s="51">
        <f t="shared" si="15"/>
        <v>0.42191780821917807</v>
      </c>
    </row>
    <row r="29" spans="1:17" ht="14.25" customHeight="1" x14ac:dyDescent="0.25">
      <c r="A29" s="4">
        <f t="shared" si="16"/>
        <v>27</v>
      </c>
      <c r="B29" s="66">
        <v>46235</v>
      </c>
      <c r="C29" s="66"/>
      <c r="D29" s="59">
        <f t="shared" si="9"/>
        <v>2681748.38</v>
      </c>
      <c r="E29" s="72">
        <f t="shared" si="7"/>
        <v>6793.7625626666659</v>
      </c>
      <c r="F29" s="56">
        <f t="shared" si="10"/>
        <v>-91701.728705972841</v>
      </c>
      <c r="G29" s="56"/>
      <c r="H29" s="180"/>
      <c r="I29" s="56">
        <f t="shared" si="11"/>
        <v>-1875.5795390822639</v>
      </c>
      <c r="J29" s="63">
        <f t="shared" si="12"/>
        <v>-407.85759486302987</v>
      </c>
      <c r="K29" s="56">
        <f t="shared" si="13"/>
        <v>-22155.303768790363</v>
      </c>
      <c r="L29" s="56">
        <f t="shared" si="13"/>
        <v>-4817.8222892216836</v>
      </c>
      <c r="M29" s="56">
        <f t="shared" si="14"/>
        <v>-632.04461180032456</v>
      </c>
      <c r="N29" s="59">
        <f t="shared" si="8"/>
        <v>-137.44242237850048</v>
      </c>
      <c r="O29" s="52">
        <v>31</v>
      </c>
      <c r="P29" s="52">
        <f t="shared" si="17"/>
        <v>123</v>
      </c>
      <c r="Q29" s="51">
        <f t="shared" si="15"/>
        <v>0.33698630136986302</v>
      </c>
    </row>
    <row r="30" spans="1:17" x14ac:dyDescent="0.25">
      <c r="A30" s="4">
        <f t="shared" si="16"/>
        <v>28</v>
      </c>
      <c r="B30" s="66">
        <v>46266</v>
      </c>
      <c r="C30" s="66"/>
      <c r="D30" s="59">
        <f t="shared" si="9"/>
        <v>2681748.38</v>
      </c>
      <c r="E30" s="72">
        <f t="shared" si="7"/>
        <v>6793.7625626666659</v>
      </c>
      <c r="F30" s="56">
        <f t="shared" si="10"/>
        <v>-98495.491268639511</v>
      </c>
      <c r="G30" s="56"/>
      <c r="H30" s="180"/>
      <c r="I30" s="56">
        <f t="shared" si="11"/>
        <v>-1875.5795390822639</v>
      </c>
      <c r="J30" s="63">
        <f t="shared" si="12"/>
        <v>-407.85759486302987</v>
      </c>
      <c r="K30" s="56">
        <f t="shared" si="13"/>
        <v>-22633.191158200363</v>
      </c>
      <c r="L30" s="56">
        <f t="shared" si="13"/>
        <v>-4921.7421695566472</v>
      </c>
      <c r="M30" s="56">
        <f t="shared" si="14"/>
        <v>-477.8873894100015</v>
      </c>
      <c r="N30" s="59">
        <f t="shared" si="8"/>
        <v>-103.91988033496378</v>
      </c>
      <c r="O30" s="52">
        <v>30</v>
      </c>
      <c r="P30" s="52">
        <f t="shared" si="17"/>
        <v>93</v>
      </c>
      <c r="Q30" s="51">
        <f t="shared" si="15"/>
        <v>0.25479452054794521</v>
      </c>
    </row>
    <row r="31" spans="1:17" x14ac:dyDescent="0.25">
      <c r="A31" s="4">
        <f t="shared" si="16"/>
        <v>29</v>
      </c>
      <c r="B31" s="66">
        <v>46296</v>
      </c>
      <c r="C31" s="66"/>
      <c r="D31" s="59">
        <f t="shared" si="9"/>
        <v>2681748.38</v>
      </c>
      <c r="E31" s="72">
        <f t="shared" si="7"/>
        <v>6793.7625626666659</v>
      </c>
      <c r="F31" s="56">
        <f t="shared" si="10"/>
        <v>-105289.25383130618</v>
      </c>
      <c r="G31" s="56"/>
      <c r="H31" s="180"/>
      <c r="I31" s="56">
        <f t="shared" si="11"/>
        <v>-1875.5795390822639</v>
      </c>
      <c r="J31" s="63">
        <f t="shared" si="12"/>
        <v>-407.85759486302987</v>
      </c>
      <c r="K31" s="56">
        <f t="shared" si="13"/>
        <v>-22951.782751140363</v>
      </c>
      <c r="L31" s="56">
        <f t="shared" si="13"/>
        <v>-4991.0220897799563</v>
      </c>
      <c r="M31" s="56">
        <f t="shared" si="14"/>
        <v>-318.59159294000096</v>
      </c>
      <c r="N31" s="59">
        <f t="shared" si="8"/>
        <v>-69.279920223309176</v>
      </c>
      <c r="O31" s="52">
        <v>31</v>
      </c>
      <c r="P31" s="52">
        <f t="shared" si="17"/>
        <v>62</v>
      </c>
      <c r="Q31" s="51">
        <f t="shared" si="15"/>
        <v>0.16986301369863013</v>
      </c>
    </row>
    <row r="32" spans="1:17" x14ac:dyDescent="0.25">
      <c r="A32" s="4">
        <f t="shared" si="16"/>
        <v>30</v>
      </c>
      <c r="B32" s="66">
        <v>46327</v>
      </c>
      <c r="C32" s="66"/>
      <c r="D32" s="59">
        <f t="shared" si="9"/>
        <v>2681748.38</v>
      </c>
      <c r="E32" s="72">
        <f t="shared" si="7"/>
        <v>6793.7625626666659</v>
      </c>
      <c r="F32" s="56">
        <f t="shared" si="10"/>
        <v>-112083.01639397285</v>
      </c>
      <c r="G32" s="56"/>
      <c r="H32" s="180"/>
      <c r="I32" s="56">
        <f t="shared" si="11"/>
        <v>-1875.5795390822639</v>
      </c>
      <c r="J32" s="63">
        <f t="shared" si="12"/>
        <v>-407.85759486302987</v>
      </c>
      <c r="K32" s="56">
        <f t="shared" si="13"/>
        <v>-23116.217121690042</v>
      </c>
      <c r="L32" s="56">
        <f t="shared" si="13"/>
        <v>-5026.7794679597291</v>
      </c>
      <c r="M32" s="56">
        <f t="shared" si="14"/>
        <v>-164.43437054967794</v>
      </c>
      <c r="N32" s="59">
        <f t="shared" si="8"/>
        <v>-35.757378179772481</v>
      </c>
      <c r="O32" s="52">
        <v>30</v>
      </c>
      <c r="P32" s="52">
        <f t="shared" si="17"/>
        <v>32</v>
      </c>
      <c r="Q32" s="51">
        <f t="shared" si="15"/>
        <v>8.7671232876712329E-2</v>
      </c>
    </row>
    <row r="33" spans="1:20" x14ac:dyDescent="0.25">
      <c r="A33" s="4">
        <f t="shared" si="16"/>
        <v>31</v>
      </c>
      <c r="B33" s="66">
        <v>46357</v>
      </c>
      <c r="C33" s="67"/>
      <c r="D33" s="60">
        <f t="shared" si="9"/>
        <v>2681748.38</v>
      </c>
      <c r="E33" s="72">
        <f t="shared" si="7"/>
        <v>6793.7625626666659</v>
      </c>
      <c r="F33" s="57">
        <f t="shared" si="10"/>
        <v>-118876.77895663952</v>
      </c>
      <c r="G33" s="57"/>
      <c r="H33" s="181"/>
      <c r="I33" s="57">
        <f t="shared" si="11"/>
        <v>-1875.5795390822639</v>
      </c>
      <c r="J33" s="63">
        <f t="shared" si="12"/>
        <v>-407.85759486302987</v>
      </c>
      <c r="K33" s="57">
        <f t="shared" si="13"/>
        <v>-23121.355695769718</v>
      </c>
      <c r="L33" s="57">
        <f t="shared" si="13"/>
        <v>-5027.8968860278474</v>
      </c>
      <c r="M33" s="57">
        <f t="shared" si="14"/>
        <v>-5.1385740796774355</v>
      </c>
      <c r="N33" s="60">
        <f t="shared" si="8"/>
        <v>-1.11741806811789</v>
      </c>
      <c r="O33" s="53">
        <v>31</v>
      </c>
      <c r="P33" s="53">
        <f t="shared" si="17"/>
        <v>1</v>
      </c>
      <c r="Q33" s="51">
        <f t="shared" si="15"/>
        <v>2.7397260273972603E-3</v>
      </c>
    </row>
    <row r="34" spans="1:20" x14ac:dyDescent="0.25">
      <c r="A34" s="4">
        <f t="shared" si="16"/>
        <v>32</v>
      </c>
      <c r="B34" s="73" t="s">
        <v>184</v>
      </c>
      <c r="C34" s="67"/>
      <c r="D34" s="60">
        <f>D33</f>
        <v>2681748.38</v>
      </c>
      <c r="E34" s="74">
        <f>SUM(E22:E33)</f>
        <v>81525.150751999987</v>
      </c>
      <c r="F34" s="57">
        <f>F33</f>
        <v>-118876.77895663952</v>
      </c>
      <c r="G34" s="57">
        <f>D34*O9</f>
        <v>193595.41555219999</v>
      </c>
      <c r="H34" s="60">
        <f>E34-G34</f>
        <v>-112070.26480020001</v>
      </c>
      <c r="I34" s="57">
        <f>(H34-J34)*$I$6</f>
        <v>-22506.954468987165</v>
      </c>
      <c r="J34" s="64">
        <f>H34*$J$6</f>
        <v>-4894.2911383563587</v>
      </c>
      <c r="K34" s="57">
        <f>K33</f>
        <v>-23121.355695769718</v>
      </c>
      <c r="L34" s="57">
        <f>L33</f>
        <v>-5027.8968860278474</v>
      </c>
      <c r="M34" s="57">
        <f>SUM(M22:M33)</f>
        <v>-10426.166807665517</v>
      </c>
      <c r="N34" s="57">
        <f>SUM(N22:N33)</f>
        <v>-2267.2412602111986</v>
      </c>
      <c r="O34" s="53"/>
      <c r="P34" s="53"/>
      <c r="Q34" s="75"/>
    </row>
    <row r="35" spans="1:20" x14ac:dyDescent="0.25">
      <c r="A35" s="4">
        <v>33</v>
      </c>
      <c r="B35" s="68" t="s">
        <v>197</v>
      </c>
      <c r="C35" s="68"/>
      <c r="D35" s="64">
        <f>-AVERAGE(D20,D22:D33)</f>
        <v>-2681748.3799999994</v>
      </c>
      <c r="E35" s="64">
        <f>-E34</f>
        <v>-81525.150751999987</v>
      </c>
      <c r="F35" s="64">
        <f>-AVERAGE(F20,F22:F33)</f>
        <v>78114.2035806395</v>
      </c>
      <c r="G35" s="54"/>
      <c r="H35" s="54"/>
      <c r="I35" s="54"/>
      <c r="J35" s="54"/>
      <c r="K35" s="64">
        <f>-K34</f>
        <v>23121.355695769718</v>
      </c>
      <c r="L35" s="64">
        <f>-L34</f>
        <v>5027.8968860278474</v>
      </c>
      <c r="M35" s="1"/>
      <c r="N35" s="1"/>
      <c r="O35" s="1"/>
      <c r="P35" s="1"/>
      <c r="Q35" s="1"/>
    </row>
    <row r="36" spans="1:20" ht="15.75" thickBot="1" x14ac:dyDescent="0.3">
      <c r="A36" s="4">
        <v>34</v>
      </c>
      <c r="B36" s="24"/>
      <c r="C36" s="24"/>
      <c r="D36" s="44"/>
      <c r="E36" s="44"/>
      <c r="F36" s="44"/>
      <c r="G36" s="1"/>
      <c r="H36" s="1"/>
      <c r="I36" s="1"/>
      <c r="J36" s="1"/>
      <c r="K36" s="44"/>
      <c r="L36" s="44"/>
      <c r="M36" s="268" t="s">
        <v>199</v>
      </c>
      <c r="N36" s="292"/>
      <c r="O36" s="292"/>
      <c r="P36" s="292"/>
      <c r="Q36" s="269"/>
    </row>
    <row r="37" spans="1:20" ht="15.75" thickBot="1" x14ac:dyDescent="0.3">
      <c r="A37" s="4">
        <v>35</v>
      </c>
      <c r="B37" s="283" t="s">
        <v>193</v>
      </c>
      <c r="C37" s="284"/>
      <c r="D37" s="284"/>
      <c r="E37" s="285"/>
      <c r="F37" s="1"/>
      <c r="G37" s="183"/>
      <c r="H37" s="1"/>
      <c r="I37" s="1"/>
      <c r="J37" s="1"/>
      <c r="K37" s="1"/>
      <c r="L37" s="1"/>
      <c r="M37" s="178" t="s">
        <v>61</v>
      </c>
      <c r="N37" s="178" t="s">
        <v>51</v>
      </c>
      <c r="O37" s="55" t="s">
        <v>60</v>
      </c>
      <c r="P37" s="55">
        <v>365</v>
      </c>
      <c r="Q37" s="179" t="s">
        <v>59</v>
      </c>
    </row>
    <row r="38" spans="1:20" x14ac:dyDescent="0.25">
      <c r="A38" s="4">
        <f>A37+1</f>
        <v>36</v>
      </c>
      <c r="B38" s="66">
        <v>45992</v>
      </c>
      <c r="C38" s="177">
        <v>0</v>
      </c>
      <c r="D38" s="59">
        <v>0</v>
      </c>
      <c r="E38" s="59"/>
      <c r="F38" s="71">
        <v>0</v>
      </c>
      <c r="G38" s="70"/>
      <c r="H38" s="70"/>
      <c r="I38" s="71"/>
      <c r="J38" s="71"/>
      <c r="K38" s="71"/>
      <c r="L38" s="70"/>
      <c r="M38" s="184"/>
      <c r="N38" s="184"/>
      <c r="O38" s="52"/>
      <c r="P38" s="52"/>
      <c r="Q38" s="185"/>
      <c r="S38" s="45"/>
    </row>
    <row r="39" spans="1:20" x14ac:dyDescent="0.25">
      <c r="A39" s="4">
        <f t="shared" ref="A39:A51" si="18">A38+1</f>
        <v>37</v>
      </c>
      <c r="B39" s="66">
        <v>46023</v>
      </c>
      <c r="C39" s="177">
        <v>135599.73000000001</v>
      </c>
      <c r="D39" s="59">
        <f>-D38+C39</f>
        <v>135599.73000000001</v>
      </c>
      <c r="E39" s="72">
        <f t="shared" ref="E39:E50" si="19">D39*($E$4/12)</f>
        <v>343.519316</v>
      </c>
      <c r="F39" s="56">
        <f>F38-E39</f>
        <v>-343.519316</v>
      </c>
      <c r="G39" s="56"/>
      <c r="H39" s="59"/>
      <c r="I39" s="56">
        <f t="shared" ref="I39:I50" si="20">$I$51/12</f>
        <v>-672.09332757411164</v>
      </c>
      <c r="J39" s="56">
        <f>$J$51/12</f>
        <v>-146.15128945264354</v>
      </c>
      <c r="K39" s="56">
        <f>M39</f>
        <v>-616.85278010226682</v>
      </c>
      <c r="L39" s="56">
        <f>N39</f>
        <v>-134.13885470311121</v>
      </c>
      <c r="M39" s="56">
        <f>(I39*Q39)</f>
        <v>-616.85278010226682</v>
      </c>
      <c r="N39" s="59">
        <f t="shared" ref="N39:N50" si="21">J39*Q39</f>
        <v>-134.13885470311121</v>
      </c>
      <c r="O39" s="52">
        <v>31</v>
      </c>
      <c r="P39" s="52">
        <f>P37-O39+1</f>
        <v>335</v>
      </c>
      <c r="Q39" s="51">
        <f>P39/$P$21</f>
        <v>0.9178082191780822</v>
      </c>
      <c r="S39" s="45"/>
      <c r="T39" s="45"/>
    </row>
    <row r="40" spans="1:20" x14ac:dyDescent="0.25">
      <c r="A40" s="4">
        <f t="shared" si="18"/>
        <v>38</v>
      </c>
      <c r="B40" s="66">
        <v>46054</v>
      </c>
      <c r="C40" s="177">
        <v>168690.12</v>
      </c>
      <c r="D40" s="59">
        <f>D39+C40</f>
        <v>304289.84999999998</v>
      </c>
      <c r="E40" s="72">
        <f t="shared" si="19"/>
        <v>770.86761999999987</v>
      </c>
      <c r="F40" s="56">
        <f t="shared" ref="F40:F50" si="22">F39-E40</f>
        <v>-1114.3869359999999</v>
      </c>
      <c r="G40" s="56"/>
      <c r="H40" s="59"/>
      <c r="I40" s="56">
        <f t="shared" si="20"/>
        <v>-672.09332757411164</v>
      </c>
      <c r="J40" s="56">
        <f t="shared" ref="J40:J50" si="23">$J$51/12</f>
        <v>-146.15128945264354</v>
      </c>
      <c r="K40" s="56">
        <f>K39+M40</f>
        <v>-1182.1477158974785</v>
      </c>
      <c r="L40" s="56">
        <f t="shared" ref="L40:L50" si="24">L39+N40</f>
        <v>-257.06610363999221</v>
      </c>
      <c r="M40" s="56">
        <f t="shared" ref="M40:M50" si="25">I40*Q40</f>
        <v>-565.2949357952117</v>
      </c>
      <c r="N40" s="59">
        <f t="shared" si="21"/>
        <v>-122.927248936881</v>
      </c>
      <c r="O40" s="52">
        <v>28</v>
      </c>
      <c r="P40" s="52">
        <f>P39-O40</f>
        <v>307</v>
      </c>
      <c r="Q40" s="51">
        <f t="shared" ref="Q40:Q50" si="26">P40/$P$21</f>
        <v>0.84109589041095889</v>
      </c>
      <c r="S40" s="45"/>
      <c r="T40" s="45"/>
    </row>
    <row r="41" spans="1:20" x14ac:dyDescent="0.25">
      <c r="A41" s="4">
        <f t="shared" si="18"/>
        <v>39</v>
      </c>
      <c r="B41" s="66">
        <v>46082</v>
      </c>
      <c r="C41" s="177">
        <v>105682.61</v>
      </c>
      <c r="D41" s="59">
        <f t="shared" ref="D41:D50" si="27">D40+C41</f>
        <v>409972.45999999996</v>
      </c>
      <c r="E41" s="72">
        <f t="shared" si="19"/>
        <v>1038.5968986666664</v>
      </c>
      <c r="F41" s="56">
        <f t="shared" si="22"/>
        <v>-2152.9838346666666</v>
      </c>
      <c r="G41" s="56"/>
      <c r="H41" s="59"/>
      <c r="I41" s="56">
        <f t="shared" si="20"/>
        <v>-672.09332757411164</v>
      </c>
      <c r="J41" s="56">
        <f t="shared" si="23"/>
        <v>-146.15128945264354</v>
      </c>
      <c r="K41" s="56">
        <f t="shared" ref="K41:K50" si="28">K40+M41</f>
        <v>-1690.3607526384505</v>
      </c>
      <c r="L41" s="56">
        <f t="shared" si="24"/>
        <v>-367.5805033356898</v>
      </c>
      <c r="M41" s="56">
        <f t="shared" si="25"/>
        <v>-508.21303674097209</v>
      </c>
      <c r="N41" s="59">
        <f t="shared" si="21"/>
        <v>-110.51439969569758</v>
      </c>
      <c r="O41" s="52">
        <v>31</v>
      </c>
      <c r="P41" s="52">
        <f t="shared" ref="P41:P50" si="29">P40-O41</f>
        <v>276</v>
      </c>
      <c r="Q41" s="51">
        <f t="shared" si="26"/>
        <v>0.75616438356164384</v>
      </c>
      <c r="S41" s="45"/>
      <c r="T41" s="45"/>
    </row>
    <row r="42" spans="1:20" x14ac:dyDescent="0.25">
      <c r="A42" s="4">
        <f t="shared" si="18"/>
        <v>40</v>
      </c>
      <c r="B42" s="66">
        <v>46113</v>
      </c>
      <c r="C42" s="177">
        <v>130746.76</v>
      </c>
      <c r="D42" s="59">
        <f t="shared" si="27"/>
        <v>540719.22</v>
      </c>
      <c r="E42" s="72">
        <f t="shared" si="19"/>
        <v>1369.8220239999998</v>
      </c>
      <c r="F42" s="56">
        <f t="shared" si="22"/>
        <v>-3522.8058586666666</v>
      </c>
      <c r="G42" s="56"/>
      <c r="H42" s="59"/>
      <c r="I42" s="56">
        <f t="shared" si="20"/>
        <v>-672.09332757411164</v>
      </c>
      <c r="J42" s="56">
        <f t="shared" si="23"/>
        <v>-146.15128945264354</v>
      </c>
      <c r="K42" s="56">
        <f t="shared" si="28"/>
        <v>-2143.3332419075778</v>
      </c>
      <c r="L42" s="56">
        <f t="shared" si="24"/>
        <v>-466.08246828185503</v>
      </c>
      <c r="M42" s="56">
        <f t="shared" si="25"/>
        <v>-452.97248926912732</v>
      </c>
      <c r="N42" s="59">
        <f t="shared" si="21"/>
        <v>-98.501964946165231</v>
      </c>
      <c r="O42" s="52">
        <v>30</v>
      </c>
      <c r="P42" s="52">
        <f t="shared" si="29"/>
        <v>246</v>
      </c>
      <c r="Q42" s="51">
        <f t="shared" si="26"/>
        <v>0.67397260273972603</v>
      </c>
      <c r="S42" s="45"/>
      <c r="T42" s="45"/>
    </row>
    <row r="43" spans="1:20" x14ac:dyDescent="0.25">
      <c r="A43" s="4">
        <f t="shared" si="18"/>
        <v>41</v>
      </c>
      <c r="B43" s="66">
        <v>46143</v>
      </c>
      <c r="C43" s="177">
        <v>128601.74</v>
      </c>
      <c r="D43" s="59">
        <f t="shared" si="27"/>
        <v>669320.95999999996</v>
      </c>
      <c r="E43" s="72">
        <f t="shared" si="19"/>
        <v>1695.6130986666665</v>
      </c>
      <c r="F43" s="56">
        <f t="shared" si="22"/>
        <v>-5218.4189573333333</v>
      </c>
      <c r="G43" s="56"/>
      <c r="H43" s="59"/>
      <c r="I43" s="56">
        <f t="shared" si="20"/>
        <v>-672.09332757411164</v>
      </c>
      <c r="J43" s="56">
        <f t="shared" si="23"/>
        <v>-146.15128945264354</v>
      </c>
      <c r="K43" s="56">
        <f t="shared" si="28"/>
        <v>-2539.2238321224654</v>
      </c>
      <c r="L43" s="56">
        <f t="shared" si="24"/>
        <v>-552.17158398683682</v>
      </c>
      <c r="M43" s="56">
        <f t="shared" si="25"/>
        <v>-395.89059021488771</v>
      </c>
      <c r="N43" s="59">
        <f t="shared" si="21"/>
        <v>-86.089115704981808</v>
      </c>
      <c r="O43" s="52">
        <v>31</v>
      </c>
      <c r="P43" s="52">
        <f t="shared" si="29"/>
        <v>215</v>
      </c>
      <c r="Q43" s="51">
        <f t="shared" si="26"/>
        <v>0.58904109589041098</v>
      </c>
      <c r="S43" s="45"/>
      <c r="T43" s="45"/>
    </row>
    <row r="44" spans="1:20" x14ac:dyDescent="0.25">
      <c r="A44" s="4">
        <f t="shared" si="18"/>
        <v>42</v>
      </c>
      <c r="B44" s="66">
        <v>46174</v>
      </c>
      <c r="C44" s="177">
        <v>146660.85</v>
      </c>
      <c r="D44" s="59">
        <f t="shared" si="27"/>
        <v>815981.80999999994</v>
      </c>
      <c r="E44" s="72">
        <f t="shared" si="19"/>
        <v>2067.1539186666664</v>
      </c>
      <c r="F44" s="56">
        <f t="shared" si="22"/>
        <v>-7285.5728760000002</v>
      </c>
      <c r="G44" s="56"/>
      <c r="H44" s="59"/>
      <c r="I44" s="56">
        <f t="shared" si="20"/>
        <v>-672.09332757411164</v>
      </c>
      <c r="J44" s="56">
        <f t="shared" si="23"/>
        <v>-146.15128945264354</v>
      </c>
      <c r="K44" s="56">
        <f t="shared" si="28"/>
        <v>-2879.8738748655082</v>
      </c>
      <c r="L44" s="56">
        <f t="shared" si="24"/>
        <v>-626.24826494228626</v>
      </c>
      <c r="M44" s="56">
        <f t="shared" si="25"/>
        <v>-340.65004274304289</v>
      </c>
      <c r="N44" s="59">
        <f t="shared" si="21"/>
        <v>-74.076680955449476</v>
      </c>
      <c r="O44" s="52">
        <v>30</v>
      </c>
      <c r="P44" s="52">
        <f t="shared" si="29"/>
        <v>185</v>
      </c>
      <c r="Q44" s="51">
        <f t="shared" si="26"/>
        <v>0.50684931506849318</v>
      </c>
      <c r="S44" s="45"/>
      <c r="T44" s="45"/>
    </row>
    <row r="45" spans="1:20" x14ac:dyDescent="0.25">
      <c r="A45" s="4">
        <f t="shared" si="18"/>
        <v>43</v>
      </c>
      <c r="B45" s="66">
        <v>46204</v>
      </c>
      <c r="C45" s="177">
        <v>163881.68</v>
      </c>
      <c r="D45" s="59">
        <f t="shared" si="27"/>
        <v>979863.49</v>
      </c>
      <c r="E45" s="72">
        <f t="shared" si="19"/>
        <v>2482.3208413333332</v>
      </c>
      <c r="F45" s="56">
        <f t="shared" si="22"/>
        <v>-9767.8937173333325</v>
      </c>
      <c r="G45" s="56"/>
      <c r="H45" s="59"/>
      <c r="I45" s="56">
        <f t="shared" si="20"/>
        <v>-672.09332757411164</v>
      </c>
      <c r="J45" s="56">
        <f t="shared" si="23"/>
        <v>-146.15128945264354</v>
      </c>
      <c r="K45" s="56">
        <f t="shared" si="28"/>
        <v>-3163.4420185543113</v>
      </c>
      <c r="L45" s="56">
        <f t="shared" si="24"/>
        <v>-687.91209665655231</v>
      </c>
      <c r="M45" s="56">
        <f t="shared" si="25"/>
        <v>-283.56814368880327</v>
      </c>
      <c r="N45" s="59">
        <f t="shared" si="21"/>
        <v>-61.663831714266038</v>
      </c>
      <c r="O45" s="52">
        <v>31</v>
      </c>
      <c r="P45" s="52">
        <f t="shared" si="29"/>
        <v>154</v>
      </c>
      <c r="Q45" s="51">
        <f t="shared" si="26"/>
        <v>0.42191780821917807</v>
      </c>
      <c r="S45" s="45"/>
      <c r="T45" s="45"/>
    </row>
    <row r="46" spans="1:20" x14ac:dyDescent="0.25">
      <c r="A46" s="4">
        <f t="shared" si="18"/>
        <v>44</v>
      </c>
      <c r="B46" s="66">
        <v>46235</v>
      </c>
      <c r="C46" s="177">
        <v>138160.06</v>
      </c>
      <c r="D46" s="59">
        <f t="shared" si="27"/>
        <v>1118023.55</v>
      </c>
      <c r="E46" s="72">
        <f t="shared" si="19"/>
        <v>2832.3263266666668</v>
      </c>
      <c r="F46" s="56">
        <f t="shared" si="22"/>
        <v>-12600.220044</v>
      </c>
      <c r="G46" s="56"/>
      <c r="H46" s="59"/>
      <c r="I46" s="56">
        <f t="shared" si="20"/>
        <v>-672.09332757411164</v>
      </c>
      <c r="J46" s="56">
        <f t="shared" si="23"/>
        <v>-146.15128945264354</v>
      </c>
      <c r="K46" s="56">
        <f t="shared" si="28"/>
        <v>-3389.928263188875</v>
      </c>
      <c r="L46" s="56">
        <f t="shared" si="24"/>
        <v>-737.16307912963498</v>
      </c>
      <c r="M46" s="56">
        <f t="shared" si="25"/>
        <v>-226.48624463456366</v>
      </c>
      <c r="N46" s="59">
        <f t="shared" si="21"/>
        <v>-49.250982473082615</v>
      </c>
      <c r="O46" s="52">
        <v>31</v>
      </c>
      <c r="P46" s="52">
        <f t="shared" si="29"/>
        <v>123</v>
      </c>
      <c r="Q46" s="51">
        <f t="shared" si="26"/>
        <v>0.33698630136986302</v>
      </c>
      <c r="S46" s="45"/>
      <c r="T46" s="45"/>
    </row>
    <row r="47" spans="1:20" x14ac:dyDescent="0.25">
      <c r="A47" s="4">
        <f t="shared" si="18"/>
        <v>45</v>
      </c>
      <c r="B47" s="66">
        <v>46266</v>
      </c>
      <c r="C47" s="177">
        <v>119768.52</v>
      </c>
      <c r="D47" s="59">
        <f t="shared" si="27"/>
        <v>1237792.07</v>
      </c>
      <c r="E47" s="72">
        <f t="shared" si="19"/>
        <v>3135.7399106666667</v>
      </c>
      <c r="F47" s="56">
        <f t="shared" si="22"/>
        <v>-15735.959954666667</v>
      </c>
      <c r="G47" s="56"/>
      <c r="H47" s="59"/>
      <c r="I47" s="56">
        <f t="shared" si="20"/>
        <v>-672.09332757411164</v>
      </c>
      <c r="J47" s="56">
        <f t="shared" si="23"/>
        <v>-146.15128945264354</v>
      </c>
      <c r="K47" s="56">
        <f t="shared" si="28"/>
        <v>-3561.1739603515939</v>
      </c>
      <c r="L47" s="56">
        <f t="shared" si="24"/>
        <v>-774.40162685318523</v>
      </c>
      <c r="M47" s="56">
        <f t="shared" si="25"/>
        <v>-171.24569716271887</v>
      </c>
      <c r="N47" s="59">
        <f t="shared" si="21"/>
        <v>-37.238547723550276</v>
      </c>
      <c r="O47" s="52">
        <v>30</v>
      </c>
      <c r="P47" s="52">
        <f t="shared" si="29"/>
        <v>93</v>
      </c>
      <c r="Q47" s="51">
        <f t="shared" si="26"/>
        <v>0.25479452054794521</v>
      </c>
      <c r="S47" s="45"/>
      <c r="T47" s="45"/>
    </row>
    <row r="48" spans="1:20" x14ac:dyDescent="0.25">
      <c r="A48" s="4">
        <f t="shared" si="18"/>
        <v>46</v>
      </c>
      <c r="B48" s="66">
        <v>46296</v>
      </c>
      <c r="C48" s="177">
        <v>166543.66</v>
      </c>
      <c r="D48" s="59">
        <f t="shared" si="27"/>
        <v>1404335.73</v>
      </c>
      <c r="E48" s="72">
        <f t="shared" si="19"/>
        <v>3557.6505159999997</v>
      </c>
      <c r="F48" s="56">
        <f t="shared" si="22"/>
        <v>-19293.610470666667</v>
      </c>
      <c r="G48" s="56"/>
      <c r="H48" s="59"/>
      <c r="I48" s="56">
        <f t="shared" si="20"/>
        <v>-672.09332757411164</v>
      </c>
      <c r="J48" s="56">
        <f t="shared" si="23"/>
        <v>-146.15128945264354</v>
      </c>
      <c r="K48" s="56">
        <f t="shared" si="28"/>
        <v>-3675.337758460073</v>
      </c>
      <c r="L48" s="56">
        <f t="shared" si="24"/>
        <v>-799.22732533555211</v>
      </c>
      <c r="M48" s="56">
        <f t="shared" si="25"/>
        <v>-114.16379810847924</v>
      </c>
      <c r="N48" s="59">
        <f t="shared" si="21"/>
        <v>-24.825698482366846</v>
      </c>
      <c r="O48" s="52">
        <v>31</v>
      </c>
      <c r="P48" s="52">
        <f t="shared" si="29"/>
        <v>62</v>
      </c>
      <c r="Q48" s="51">
        <f t="shared" si="26"/>
        <v>0.16986301369863013</v>
      </c>
      <c r="S48" s="45"/>
      <c r="T48" s="45"/>
    </row>
    <row r="49" spans="1:20" x14ac:dyDescent="0.25">
      <c r="A49" s="4">
        <f t="shared" si="18"/>
        <v>47</v>
      </c>
      <c r="B49" s="66">
        <v>46327</v>
      </c>
      <c r="C49" s="177">
        <v>145635.89000000001</v>
      </c>
      <c r="D49" s="59">
        <f t="shared" si="27"/>
        <v>1549971.62</v>
      </c>
      <c r="E49" s="72">
        <f t="shared" si="19"/>
        <v>3926.5947706666666</v>
      </c>
      <c r="F49" s="56">
        <f t="shared" si="22"/>
        <v>-23220.205241333333</v>
      </c>
      <c r="G49" s="56"/>
      <c r="H49" s="59"/>
      <c r="I49" s="56">
        <f t="shared" si="20"/>
        <v>-672.09332757411164</v>
      </c>
      <c r="J49" s="56">
        <f t="shared" si="23"/>
        <v>-146.15128945264354</v>
      </c>
      <c r="K49" s="56">
        <f t="shared" si="28"/>
        <v>-3734.2610090967073</v>
      </c>
      <c r="L49" s="56">
        <f t="shared" si="24"/>
        <v>-812.04058906838657</v>
      </c>
      <c r="M49" s="56">
        <f t="shared" si="25"/>
        <v>-58.923250636634442</v>
      </c>
      <c r="N49" s="59">
        <f t="shared" si="21"/>
        <v>-12.813263732834502</v>
      </c>
      <c r="O49" s="52">
        <v>30</v>
      </c>
      <c r="P49" s="52">
        <f t="shared" si="29"/>
        <v>32</v>
      </c>
      <c r="Q49" s="51">
        <f t="shared" si="26"/>
        <v>8.7671232876712329E-2</v>
      </c>
      <c r="S49" s="45"/>
      <c r="T49" s="45"/>
    </row>
    <row r="50" spans="1:20" x14ac:dyDescent="0.25">
      <c r="A50" s="4">
        <f t="shared" si="18"/>
        <v>48</v>
      </c>
      <c r="B50" s="67">
        <v>46357</v>
      </c>
      <c r="C50" s="186">
        <v>262593.31</v>
      </c>
      <c r="D50" s="60">
        <f t="shared" si="27"/>
        <v>1812564.9300000002</v>
      </c>
      <c r="E50" s="100">
        <f t="shared" si="19"/>
        <v>4591.8311560000002</v>
      </c>
      <c r="F50" s="57">
        <f t="shared" si="22"/>
        <v>-27812.036397333333</v>
      </c>
      <c r="G50" s="57"/>
      <c r="H50" s="60"/>
      <c r="I50" s="56">
        <f t="shared" si="20"/>
        <v>-672.09332757411164</v>
      </c>
      <c r="J50" s="57">
        <f t="shared" si="23"/>
        <v>-146.15128945264354</v>
      </c>
      <c r="K50" s="57">
        <f t="shared" si="28"/>
        <v>-3736.1023606791023</v>
      </c>
      <c r="L50" s="57">
        <f t="shared" si="24"/>
        <v>-812.44100356003764</v>
      </c>
      <c r="M50" s="57">
        <f t="shared" si="25"/>
        <v>-1.8413515823948263</v>
      </c>
      <c r="N50" s="60">
        <f t="shared" si="21"/>
        <v>-0.40041449165107817</v>
      </c>
      <c r="O50" s="53">
        <v>31</v>
      </c>
      <c r="P50" s="53">
        <f t="shared" si="29"/>
        <v>1</v>
      </c>
      <c r="Q50" s="51">
        <f t="shared" si="26"/>
        <v>2.7397260273972603E-3</v>
      </c>
      <c r="S50" s="45"/>
      <c r="T50" s="45"/>
    </row>
    <row r="51" spans="1:20" x14ac:dyDescent="0.25">
      <c r="A51" s="4">
        <f t="shared" si="18"/>
        <v>49</v>
      </c>
      <c r="B51" s="73" t="s">
        <v>184</v>
      </c>
      <c r="C51" s="67"/>
      <c r="D51" s="60">
        <f>D50</f>
        <v>1812564.9300000002</v>
      </c>
      <c r="E51" s="74">
        <f>SUM(E39:E50)</f>
        <v>27812.036397333333</v>
      </c>
      <c r="F51" s="57">
        <f>F50</f>
        <v>-27812.036397333333</v>
      </c>
      <c r="G51" s="57">
        <f>D51*O8</f>
        <v>67971.184875000006</v>
      </c>
      <c r="H51" s="60">
        <f>E51-G51</f>
        <v>-40159.148477666677</v>
      </c>
      <c r="I51" s="64">
        <f>(H51-J51)*$I$6</f>
        <v>-8065.1199308893401</v>
      </c>
      <c r="J51" s="64">
        <f>H51*$J$6</f>
        <v>-1753.8154734317225</v>
      </c>
      <c r="K51" s="57">
        <f>K50</f>
        <v>-3736.1023606791023</v>
      </c>
      <c r="L51" s="57">
        <f>L50</f>
        <v>-812.44100356003764</v>
      </c>
      <c r="M51" s="57">
        <f>SUM(M39:M50)</f>
        <v>-3736.1023606791023</v>
      </c>
      <c r="N51" s="57">
        <f>SUM(N39:N50)</f>
        <v>-812.44100356003764</v>
      </c>
      <c r="O51" s="53"/>
      <c r="P51" s="53"/>
      <c r="Q51" s="75"/>
      <c r="S51" s="45"/>
    </row>
    <row r="52" spans="1:20" x14ac:dyDescent="0.25">
      <c r="A52" s="4">
        <v>50</v>
      </c>
      <c r="B52" s="68" t="s">
        <v>198</v>
      </c>
      <c r="C52" s="68"/>
      <c r="D52" s="64">
        <f>-AVERAGE(AVERAGE(D38:D50))</f>
        <v>-844495.0323076921</v>
      </c>
      <c r="E52" s="64">
        <f>-E51</f>
        <v>-27812.036397333333</v>
      </c>
      <c r="F52" s="64">
        <f>-AVERAGE(F38:F50)</f>
        <v>9851.3548926153835</v>
      </c>
      <c r="G52" s="54"/>
      <c r="H52" s="54"/>
      <c r="I52" s="54"/>
      <c r="J52" s="54"/>
      <c r="K52" s="64">
        <f>-K51</f>
        <v>3736.1023606791023</v>
      </c>
      <c r="L52" s="64">
        <f>-L51</f>
        <v>812.44100356003764</v>
      </c>
      <c r="M52" s="1"/>
      <c r="N52" s="1"/>
      <c r="O52" s="1"/>
      <c r="P52" s="1"/>
      <c r="Q52" s="1"/>
    </row>
    <row r="53" spans="1:20" x14ac:dyDescent="0.25">
      <c r="A53" s="4"/>
      <c r="B53" s="24"/>
      <c r="C53" s="24"/>
      <c r="D53" s="44"/>
      <c r="E53" s="44"/>
      <c r="F53" s="44"/>
      <c r="G53" s="1"/>
      <c r="H53" s="1"/>
      <c r="I53" s="1"/>
      <c r="J53" s="1"/>
      <c r="K53" s="44"/>
      <c r="L53" s="44"/>
      <c r="M53" s="1"/>
      <c r="N53" s="1"/>
      <c r="O53" s="1"/>
      <c r="P53" s="1"/>
      <c r="Q53" s="1"/>
    </row>
    <row r="54" spans="1:20" x14ac:dyDescent="0.25">
      <c r="A54" s="15" t="s">
        <v>35</v>
      </c>
      <c r="B54" s="76"/>
      <c r="C54" s="24"/>
      <c r="D54" s="1"/>
      <c r="E54" s="35"/>
      <c r="F54" s="1"/>
      <c r="G54" s="1"/>
      <c r="H54" s="1"/>
      <c r="I54" s="1"/>
      <c r="J54" s="1"/>
      <c r="K54" s="42"/>
      <c r="L54" s="42"/>
      <c r="M54" s="35"/>
      <c r="N54" s="35"/>
      <c r="O54" s="1"/>
      <c r="P54" s="1"/>
      <c r="Q54" s="1"/>
    </row>
    <row r="55" spans="1:20" x14ac:dyDescent="0.25">
      <c r="A55" s="1" t="s">
        <v>185</v>
      </c>
      <c r="B55" s="24"/>
      <c r="C55" s="24"/>
      <c r="D55" s="1"/>
      <c r="E55" s="1"/>
      <c r="F55" s="1"/>
      <c r="G55" s="1"/>
      <c r="H55" s="1"/>
      <c r="I55" s="1"/>
      <c r="J55" s="1"/>
      <c r="K55" s="35"/>
      <c r="L55" s="35"/>
      <c r="M55" s="1"/>
      <c r="N55" s="1"/>
      <c r="O55" s="1"/>
      <c r="P55" s="1"/>
      <c r="Q55" s="1"/>
    </row>
    <row r="56" spans="1:20" x14ac:dyDescent="0.25">
      <c r="A56" s="1" t="s">
        <v>201</v>
      </c>
      <c r="B56" s="24"/>
      <c r="C56" s="24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20" x14ac:dyDescent="0.25">
      <c r="A57" s="1" t="s">
        <v>186</v>
      </c>
      <c r="B57" s="24"/>
      <c r="C57" s="24"/>
      <c r="D57" s="1"/>
      <c r="E57" s="1"/>
      <c r="F57" s="1"/>
      <c r="G57" s="1"/>
      <c r="H57" s="1"/>
      <c r="I57" s="58"/>
      <c r="J57" s="1"/>
      <c r="K57" s="1"/>
      <c r="L57" s="1"/>
      <c r="M57" s="1"/>
      <c r="N57" s="1"/>
      <c r="O57" s="1"/>
      <c r="P57" s="1"/>
      <c r="Q57" s="1"/>
    </row>
    <row r="58" spans="1:20" x14ac:dyDescent="0.25">
      <c r="I58" s="36"/>
      <c r="K58" s="45"/>
    </row>
    <row r="59" spans="1:20" x14ac:dyDescent="0.25">
      <c r="I59" s="36"/>
      <c r="K59" s="45"/>
    </row>
    <row r="60" spans="1:20" x14ac:dyDescent="0.25">
      <c r="I60" s="36"/>
      <c r="K60" s="45"/>
    </row>
    <row r="61" spans="1:20" x14ac:dyDescent="0.25">
      <c r="I61" s="36"/>
      <c r="K61" s="45"/>
    </row>
    <row r="62" spans="1:20" x14ac:dyDescent="0.25">
      <c r="I62" s="36"/>
      <c r="K62" s="45"/>
    </row>
    <row r="63" spans="1:20" x14ac:dyDescent="0.25">
      <c r="I63" s="36"/>
      <c r="K63" s="45"/>
    </row>
    <row r="64" spans="1:20" x14ac:dyDescent="0.25">
      <c r="I64" s="36"/>
      <c r="K64" s="45"/>
    </row>
    <row r="65" spans="9:11" x14ac:dyDescent="0.25">
      <c r="I65" s="36"/>
      <c r="K65" s="45"/>
    </row>
    <row r="66" spans="9:11" x14ac:dyDescent="0.25">
      <c r="I66" s="36"/>
      <c r="K66" s="45"/>
    </row>
    <row r="67" spans="9:11" x14ac:dyDescent="0.25">
      <c r="I67" s="36"/>
      <c r="K67" s="45"/>
    </row>
    <row r="68" spans="9:11" x14ac:dyDescent="0.25">
      <c r="I68" s="36"/>
      <c r="K68" s="45"/>
    </row>
    <row r="69" spans="9:11" x14ac:dyDescent="0.25">
      <c r="I69" s="36"/>
      <c r="K69" s="45"/>
    </row>
    <row r="70" spans="9:11" x14ac:dyDescent="0.25">
      <c r="I70" s="36"/>
    </row>
    <row r="71" spans="9:11" x14ac:dyDescent="0.25">
      <c r="I71" s="36"/>
    </row>
    <row r="72" spans="9:11" x14ac:dyDescent="0.25">
      <c r="I72" s="36"/>
    </row>
    <row r="73" spans="9:11" x14ac:dyDescent="0.25">
      <c r="I73" s="36"/>
    </row>
    <row r="74" spans="9:11" x14ac:dyDescent="0.25">
      <c r="I74" s="36"/>
    </row>
    <row r="75" spans="9:11" x14ac:dyDescent="0.25">
      <c r="I75" s="36"/>
    </row>
    <row r="76" spans="9:11" x14ac:dyDescent="0.25">
      <c r="I76" s="36"/>
    </row>
    <row r="77" spans="9:11" x14ac:dyDescent="0.25">
      <c r="I77" s="36"/>
    </row>
    <row r="78" spans="9:11" x14ac:dyDescent="0.25">
      <c r="I78" s="36"/>
    </row>
    <row r="79" spans="9:11" x14ac:dyDescent="0.25">
      <c r="I79" s="36"/>
    </row>
    <row r="80" spans="9:11" x14ac:dyDescent="0.25">
      <c r="I80" s="36"/>
    </row>
    <row r="81" spans="9:9" x14ac:dyDescent="0.25">
      <c r="I81" s="36"/>
    </row>
    <row r="82" spans="9:9" x14ac:dyDescent="0.25">
      <c r="I82" s="36"/>
    </row>
    <row r="83" spans="9:9" x14ac:dyDescent="0.25">
      <c r="I83" s="36"/>
    </row>
    <row r="84" spans="9:9" x14ac:dyDescent="0.25">
      <c r="I84" s="36"/>
    </row>
    <row r="85" spans="9:9" x14ac:dyDescent="0.25">
      <c r="I85" s="36"/>
    </row>
    <row r="86" spans="9:9" x14ac:dyDescent="0.25">
      <c r="I86" s="36"/>
    </row>
    <row r="87" spans="9:9" x14ac:dyDescent="0.25">
      <c r="I87" s="36"/>
    </row>
    <row r="88" spans="9:9" x14ac:dyDescent="0.25">
      <c r="I88" s="36"/>
    </row>
    <row r="89" spans="9:9" x14ac:dyDescent="0.25">
      <c r="I89" s="36"/>
    </row>
    <row r="90" spans="9:9" x14ac:dyDescent="0.25">
      <c r="I90" s="36"/>
    </row>
    <row r="91" spans="9:9" x14ac:dyDescent="0.25">
      <c r="I91" s="36"/>
    </row>
    <row r="92" spans="9:9" x14ac:dyDescent="0.25">
      <c r="I92" s="36"/>
    </row>
    <row r="93" spans="9:9" x14ac:dyDescent="0.25">
      <c r="I93" s="36"/>
    </row>
    <row r="94" spans="9:9" x14ac:dyDescent="0.25">
      <c r="I94" s="36"/>
    </row>
    <row r="95" spans="9:9" x14ac:dyDescent="0.25">
      <c r="I95" s="36"/>
    </row>
    <row r="96" spans="9:9" x14ac:dyDescent="0.25">
      <c r="I96" s="36"/>
    </row>
    <row r="97" spans="9:9" x14ac:dyDescent="0.25">
      <c r="I97" s="36"/>
    </row>
    <row r="98" spans="9:9" x14ac:dyDescent="0.25">
      <c r="I98" s="36"/>
    </row>
    <row r="99" spans="9:9" x14ac:dyDescent="0.25">
      <c r="I99" s="36"/>
    </row>
    <row r="100" spans="9:9" x14ac:dyDescent="0.25">
      <c r="I100" s="36"/>
    </row>
    <row r="101" spans="9:9" x14ac:dyDescent="0.25">
      <c r="I101" s="36"/>
    </row>
    <row r="102" spans="9:9" x14ac:dyDescent="0.25">
      <c r="I102" s="36"/>
    </row>
    <row r="103" spans="9:9" x14ac:dyDescent="0.25">
      <c r="I103" s="36"/>
    </row>
    <row r="104" spans="9:9" x14ac:dyDescent="0.25">
      <c r="I104" s="36"/>
    </row>
    <row r="105" spans="9:9" x14ac:dyDescent="0.25">
      <c r="I105" s="36"/>
    </row>
    <row r="106" spans="9:9" x14ac:dyDescent="0.25">
      <c r="I106" s="36"/>
    </row>
    <row r="107" spans="9:9" x14ac:dyDescent="0.25">
      <c r="I107" s="36"/>
    </row>
    <row r="108" spans="9:9" x14ac:dyDescent="0.25">
      <c r="I108" s="36"/>
    </row>
    <row r="109" spans="9:9" x14ac:dyDescent="0.25">
      <c r="I109" s="36"/>
    </row>
    <row r="110" spans="9:9" x14ac:dyDescent="0.25">
      <c r="I110" s="36"/>
    </row>
    <row r="111" spans="9:9" x14ac:dyDescent="0.25">
      <c r="I111" s="36"/>
    </row>
    <row r="112" spans="9:9" x14ac:dyDescent="0.25">
      <c r="I112" s="36"/>
    </row>
    <row r="113" spans="9:9" x14ac:dyDescent="0.25">
      <c r="I113" s="36"/>
    </row>
    <row r="114" spans="9:9" x14ac:dyDescent="0.25">
      <c r="I114" s="36"/>
    </row>
    <row r="115" spans="9:9" x14ac:dyDescent="0.25">
      <c r="I115" s="36"/>
    </row>
    <row r="116" spans="9:9" x14ac:dyDescent="0.25">
      <c r="I116" s="36"/>
    </row>
    <row r="117" spans="9:9" x14ac:dyDescent="0.25">
      <c r="I117" s="36"/>
    </row>
    <row r="118" spans="9:9" x14ac:dyDescent="0.25">
      <c r="I118" s="36"/>
    </row>
    <row r="119" spans="9:9" x14ac:dyDescent="0.25">
      <c r="I119" s="36"/>
    </row>
    <row r="120" spans="9:9" x14ac:dyDescent="0.25">
      <c r="I120" s="36"/>
    </row>
    <row r="121" spans="9:9" x14ac:dyDescent="0.25">
      <c r="I121" s="36"/>
    </row>
    <row r="122" spans="9:9" x14ac:dyDescent="0.25">
      <c r="I122" s="36"/>
    </row>
    <row r="123" spans="9:9" x14ac:dyDescent="0.25">
      <c r="I123" s="36"/>
    </row>
    <row r="124" spans="9:9" x14ac:dyDescent="0.25">
      <c r="I124" s="36"/>
    </row>
    <row r="125" spans="9:9" x14ac:dyDescent="0.25">
      <c r="I125" s="36"/>
    </row>
    <row r="126" spans="9:9" x14ac:dyDescent="0.25">
      <c r="I126" s="36"/>
    </row>
    <row r="127" spans="9:9" x14ac:dyDescent="0.25">
      <c r="I127" s="36"/>
    </row>
    <row r="128" spans="9:9" x14ac:dyDescent="0.25">
      <c r="I128" s="36"/>
    </row>
    <row r="129" spans="9:9" x14ac:dyDescent="0.25">
      <c r="I129" s="36"/>
    </row>
    <row r="130" spans="9:9" x14ac:dyDescent="0.25">
      <c r="I130" s="36"/>
    </row>
    <row r="131" spans="9:9" x14ac:dyDescent="0.25">
      <c r="I131" s="36"/>
    </row>
    <row r="132" spans="9:9" x14ac:dyDescent="0.25">
      <c r="I132" s="36"/>
    </row>
    <row r="133" spans="9:9" x14ac:dyDescent="0.25">
      <c r="I133" s="36"/>
    </row>
    <row r="134" spans="9:9" x14ac:dyDescent="0.25">
      <c r="I134" s="36"/>
    </row>
    <row r="135" spans="9:9" x14ac:dyDescent="0.25">
      <c r="I135" s="36"/>
    </row>
    <row r="136" spans="9:9" x14ac:dyDescent="0.25">
      <c r="I136" s="36"/>
    </row>
    <row r="137" spans="9:9" x14ac:dyDescent="0.25">
      <c r="I137" s="36"/>
    </row>
    <row r="138" spans="9:9" x14ac:dyDescent="0.25">
      <c r="I138" s="36"/>
    </row>
    <row r="139" spans="9:9" x14ac:dyDescent="0.25">
      <c r="I139" s="36"/>
    </row>
    <row r="140" spans="9:9" x14ac:dyDescent="0.25">
      <c r="I140" s="36"/>
    </row>
    <row r="141" spans="9:9" x14ac:dyDescent="0.25">
      <c r="I141" s="36"/>
    </row>
    <row r="142" spans="9:9" x14ac:dyDescent="0.25">
      <c r="I142" s="36"/>
    </row>
    <row r="143" spans="9:9" x14ac:dyDescent="0.25">
      <c r="I143" s="36"/>
    </row>
    <row r="144" spans="9:9" x14ac:dyDescent="0.25">
      <c r="I144" s="36"/>
    </row>
    <row r="145" spans="9:9" x14ac:dyDescent="0.25">
      <c r="I145" s="36"/>
    </row>
    <row r="146" spans="9:9" x14ac:dyDescent="0.25">
      <c r="I146" s="36"/>
    </row>
    <row r="147" spans="9:9" x14ac:dyDescent="0.25">
      <c r="I147" s="36"/>
    </row>
    <row r="148" spans="9:9" x14ac:dyDescent="0.25">
      <c r="I148" s="36"/>
    </row>
    <row r="149" spans="9:9" x14ac:dyDescent="0.25">
      <c r="I149" s="36"/>
    </row>
    <row r="150" spans="9:9" x14ac:dyDescent="0.25">
      <c r="I150" s="36"/>
    </row>
    <row r="151" spans="9:9" x14ac:dyDescent="0.25">
      <c r="I151" s="36"/>
    </row>
    <row r="152" spans="9:9" x14ac:dyDescent="0.25">
      <c r="I152" s="36"/>
    </row>
    <row r="153" spans="9:9" x14ac:dyDescent="0.25">
      <c r="I153" s="36"/>
    </row>
    <row r="154" spans="9:9" x14ac:dyDescent="0.25">
      <c r="I154" s="36"/>
    </row>
    <row r="155" spans="9:9" x14ac:dyDescent="0.25">
      <c r="I155" s="36"/>
    </row>
    <row r="156" spans="9:9" x14ac:dyDescent="0.25">
      <c r="I156" s="36"/>
    </row>
    <row r="157" spans="9:9" x14ac:dyDescent="0.25">
      <c r="I157" s="36"/>
    </row>
    <row r="158" spans="9:9" x14ac:dyDescent="0.25">
      <c r="I158" s="36"/>
    </row>
    <row r="159" spans="9:9" x14ac:dyDescent="0.25">
      <c r="I159" s="36"/>
    </row>
    <row r="160" spans="9:9" x14ac:dyDescent="0.25">
      <c r="I160" s="36"/>
    </row>
    <row r="161" spans="9:9" x14ac:dyDescent="0.25">
      <c r="I161" s="36"/>
    </row>
    <row r="162" spans="9:9" x14ac:dyDescent="0.25">
      <c r="I162" s="36"/>
    </row>
    <row r="163" spans="9:9" x14ac:dyDescent="0.25">
      <c r="I163" s="36"/>
    </row>
    <row r="164" spans="9:9" x14ac:dyDescent="0.25">
      <c r="I164" s="36"/>
    </row>
    <row r="165" spans="9:9" x14ac:dyDescent="0.25">
      <c r="I165" s="36"/>
    </row>
    <row r="166" spans="9:9" x14ac:dyDescent="0.25">
      <c r="I166" s="36"/>
    </row>
    <row r="167" spans="9:9" x14ac:dyDescent="0.25">
      <c r="I167" s="36"/>
    </row>
    <row r="168" spans="9:9" x14ac:dyDescent="0.25">
      <c r="I168" s="36"/>
    </row>
    <row r="169" spans="9:9" x14ac:dyDescent="0.25">
      <c r="I169" s="36"/>
    </row>
    <row r="170" spans="9:9" x14ac:dyDescent="0.25">
      <c r="I170" s="36"/>
    </row>
    <row r="171" spans="9:9" x14ac:dyDescent="0.25">
      <c r="I171" s="36"/>
    </row>
    <row r="172" spans="9:9" x14ac:dyDescent="0.25">
      <c r="I172" s="36"/>
    </row>
    <row r="173" spans="9:9" x14ac:dyDescent="0.25">
      <c r="I173" s="36"/>
    </row>
    <row r="174" spans="9:9" x14ac:dyDescent="0.25">
      <c r="I174" s="36"/>
    </row>
    <row r="175" spans="9:9" x14ac:dyDescent="0.25">
      <c r="I175" s="36"/>
    </row>
    <row r="176" spans="9:9" x14ac:dyDescent="0.25">
      <c r="I176" s="36"/>
    </row>
    <row r="177" spans="9:9" x14ac:dyDescent="0.25">
      <c r="I177" s="36"/>
    </row>
    <row r="178" spans="9:9" x14ac:dyDescent="0.25">
      <c r="I178" s="36"/>
    </row>
    <row r="179" spans="9:9" x14ac:dyDescent="0.25">
      <c r="I179" s="36"/>
    </row>
    <row r="180" spans="9:9" x14ac:dyDescent="0.25">
      <c r="I180" s="36"/>
    </row>
    <row r="181" spans="9:9" x14ac:dyDescent="0.25">
      <c r="I181" s="36"/>
    </row>
    <row r="182" spans="9:9" x14ac:dyDescent="0.25">
      <c r="I182" s="36"/>
    </row>
    <row r="183" spans="9:9" x14ac:dyDescent="0.25">
      <c r="I183" s="36"/>
    </row>
    <row r="184" spans="9:9" x14ac:dyDescent="0.25">
      <c r="I184" s="36"/>
    </row>
    <row r="185" spans="9:9" x14ac:dyDescent="0.25">
      <c r="I185" s="36"/>
    </row>
    <row r="186" spans="9:9" x14ac:dyDescent="0.25">
      <c r="I186" s="36"/>
    </row>
    <row r="187" spans="9:9" x14ac:dyDescent="0.25">
      <c r="I187" s="36"/>
    </row>
    <row r="188" spans="9:9" x14ac:dyDescent="0.25">
      <c r="I188" s="36"/>
    </row>
    <row r="189" spans="9:9" x14ac:dyDescent="0.25">
      <c r="I189" s="36"/>
    </row>
    <row r="190" spans="9:9" x14ac:dyDescent="0.25">
      <c r="I190" s="36"/>
    </row>
    <row r="191" spans="9:9" x14ac:dyDescent="0.25">
      <c r="I191" s="36"/>
    </row>
    <row r="192" spans="9:9" x14ac:dyDescent="0.25">
      <c r="I192" s="36"/>
    </row>
    <row r="193" spans="9:9" x14ac:dyDescent="0.25">
      <c r="I193" s="36"/>
    </row>
    <row r="194" spans="9:9" x14ac:dyDescent="0.25">
      <c r="I194" s="36"/>
    </row>
    <row r="195" spans="9:9" x14ac:dyDescent="0.25">
      <c r="I195" s="36"/>
    </row>
    <row r="196" spans="9:9" x14ac:dyDescent="0.25">
      <c r="I196" s="36"/>
    </row>
    <row r="197" spans="9:9" x14ac:dyDescent="0.25">
      <c r="I197" s="36"/>
    </row>
    <row r="198" spans="9:9" x14ac:dyDescent="0.25">
      <c r="I198" s="36"/>
    </row>
    <row r="199" spans="9:9" x14ac:dyDescent="0.25">
      <c r="I199" s="36"/>
    </row>
    <row r="200" spans="9:9" x14ac:dyDescent="0.25">
      <c r="I200" s="36"/>
    </row>
    <row r="201" spans="9:9" x14ac:dyDescent="0.25">
      <c r="I201" s="36"/>
    </row>
    <row r="202" spans="9:9" x14ac:dyDescent="0.25">
      <c r="I202" s="36"/>
    </row>
    <row r="203" spans="9:9" x14ac:dyDescent="0.25">
      <c r="I203" s="36"/>
    </row>
    <row r="204" spans="9:9" x14ac:dyDescent="0.25">
      <c r="I204" s="36"/>
    </row>
    <row r="205" spans="9:9" x14ac:dyDescent="0.25">
      <c r="I205" s="36"/>
    </row>
    <row r="206" spans="9:9" x14ac:dyDescent="0.25">
      <c r="I206" s="36"/>
    </row>
    <row r="207" spans="9:9" x14ac:dyDescent="0.25">
      <c r="I207" s="36"/>
    </row>
    <row r="208" spans="9:9" x14ac:dyDescent="0.25">
      <c r="I208" s="36"/>
    </row>
    <row r="209" spans="9:9" x14ac:dyDescent="0.25">
      <c r="I209" s="36"/>
    </row>
    <row r="210" spans="9:9" x14ac:dyDescent="0.25">
      <c r="I210" s="36"/>
    </row>
    <row r="211" spans="9:9" x14ac:dyDescent="0.25">
      <c r="I211" s="36"/>
    </row>
    <row r="212" spans="9:9" x14ac:dyDescent="0.25">
      <c r="I212" s="36"/>
    </row>
    <row r="213" spans="9:9" x14ac:dyDescent="0.25">
      <c r="I213" s="36"/>
    </row>
    <row r="214" spans="9:9" x14ac:dyDescent="0.25">
      <c r="I214" s="36"/>
    </row>
    <row r="215" spans="9:9" x14ac:dyDescent="0.25">
      <c r="I215" s="36"/>
    </row>
    <row r="216" spans="9:9" x14ac:dyDescent="0.25">
      <c r="I216" s="36"/>
    </row>
    <row r="217" spans="9:9" x14ac:dyDescent="0.25">
      <c r="I217" s="36"/>
    </row>
    <row r="218" spans="9:9" x14ac:dyDescent="0.25">
      <c r="I218" s="36"/>
    </row>
    <row r="219" spans="9:9" x14ac:dyDescent="0.25">
      <c r="I219" s="36"/>
    </row>
    <row r="220" spans="9:9" x14ac:dyDescent="0.25">
      <c r="I220" s="36"/>
    </row>
    <row r="221" spans="9:9" x14ac:dyDescent="0.25">
      <c r="I221" s="36"/>
    </row>
    <row r="222" spans="9:9" x14ac:dyDescent="0.25">
      <c r="I222" s="36"/>
    </row>
    <row r="223" spans="9:9" x14ac:dyDescent="0.25">
      <c r="I223" s="36"/>
    </row>
    <row r="224" spans="9:9" x14ac:dyDescent="0.25">
      <c r="I224" s="36"/>
    </row>
    <row r="225" spans="9:9" x14ac:dyDescent="0.25">
      <c r="I225" s="36"/>
    </row>
    <row r="226" spans="9:9" x14ac:dyDescent="0.25">
      <c r="I226" s="36"/>
    </row>
    <row r="227" spans="9:9" x14ac:dyDescent="0.25">
      <c r="I227" s="36"/>
    </row>
    <row r="228" spans="9:9" x14ac:dyDescent="0.25">
      <c r="I228" s="36"/>
    </row>
    <row r="229" spans="9:9" x14ac:dyDescent="0.25">
      <c r="I229" s="36"/>
    </row>
    <row r="230" spans="9:9" x14ac:dyDescent="0.25">
      <c r="I230" s="36"/>
    </row>
    <row r="231" spans="9:9" x14ac:dyDescent="0.25">
      <c r="I231" s="36"/>
    </row>
    <row r="232" spans="9:9" x14ac:dyDescent="0.25">
      <c r="I232" s="36"/>
    </row>
    <row r="233" spans="9:9" x14ac:dyDescent="0.25">
      <c r="I233" s="36"/>
    </row>
    <row r="234" spans="9:9" x14ac:dyDescent="0.25">
      <c r="I234" s="36"/>
    </row>
    <row r="235" spans="9:9" x14ac:dyDescent="0.25">
      <c r="I235" s="36"/>
    </row>
    <row r="236" spans="9:9" x14ac:dyDescent="0.25">
      <c r="I236" s="36"/>
    </row>
    <row r="237" spans="9:9" x14ac:dyDescent="0.25">
      <c r="I237" s="36"/>
    </row>
    <row r="238" spans="9:9" x14ac:dyDescent="0.25">
      <c r="I238" s="36"/>
    </row>
    <row r="239" spans="9:9" x14ac:dyDescent="0.25">
      <c r="I239" s="36"/>
    </row>
    <row r="240" spans="9:9" x14ac:dyDescent="0.25">
      <c r="I240" s="36"/>
    </row>
    <row r="241" spans="9:9" x14ac:dyDescent="0.25">
      <c r="I241" s="36"/>
    </row>
    <row r="242" spans="9:9" x14ac:dyDescent="0.25">
      <c r="I242" s="36"/>
    </row>
    <row r="243" spans="9:9" x14ac:dyDescent="0.25">
      <c r="I243" s="36"/>
    </row>
    <row r="244" spans="9:9" x14ac:dyDescent="0.25">
      <c r="I244" s="36"/>
    </row>
    <row r="245" spans="9:9" x14ac:dyDescent="0.25">
      <c r="I245" s="36"/>
    </row>
    <row r="246" spans="9:9" x14ac:dyDescent="0.25">
      <c r="I246" s="36"/>
    </row>
    <row r="247" spans="9:9" x14ac:dyDescent="0.25">
      <c r="I247" s="36"/>
    </row>
    <row r="248" spans="9:9" x14ac:dyDescent="0.25">
      <c r="I248" s="36"/>
    </row>
    <row r="249" spans="9:9" x14ac:dyDescent="0.25">
      <c r="I249" s="36"/>
    </row>
    <row r="250" spans="9:9" x14ac:dyDescent="0.25">
      <c r="I250" s="36"/>
    </row>
    <row r="251" spans="9:9" x14ac:dyDescent="0.25">
      <c r="I251" s="36"/>
    </row>
    <row r="252" spans="9:9" x14ac:dyDescent="0.25">
      <c r="I252" s="36"/>
    </row>
    <row r="253" spans="9:9" x14ac:dyDescent="0.25">
      <c r="I253" s="36"/>
    </row>
    <row r="254" spans="9:9" x14ac:dyDescent="0.25">
      <c r="I254" s="36"/>
    </row>
    <row r="255" spans="9:9" x14ac:dyDescent="0.25">
      <c r="I255" s="36"/>
    </row>
    <row r="256" spans="9:9" x14ac:dyDescent="0.25">
      <c r="I256" s="36"/>
    </row>
    <row r="257" spans="9:9" x14ac:dyDescent="0.25">
      <c r="I257" s="36"/>
    </row>
    <row r="258" spans="9:9" x14ac:dyDescent="0.25">
      <c r="I258" s="36"/>
    </row>
    <row r="259" spans="9:9" x14ac:dyDescent="0.25">
      <c r="I259" s="36"/>
    </row>
    <row r="260" spans="9:9" x14ac:dyDescent="0.25">
      <c r="I260" s="36"/>
    </row>
    <row r="261" spans="9:9" x14ac:dyDescent="0.25">
      <c r="I261" s="36"/>
    </row>
    <row r="262" spans="9:9" x14ac:dyDescent="0.25">
      <c r="I262" s="36"/>
    </row>
    <row r="263" spans="9:9" x14ac:dyDescent="0.25">
      <c r="I263" s="36"/>
    </row>
    <row r="264" spans="9:9" x14ac:dyDescent="0.25">
      <c r="I264" s="36"/>
    </row>
    <row r="265" spans="9:9" x14ac:dyDescent="0.25">
      <c r="I265" s="36"/>
    </row>
    <row r="266" spans="9:9" x14ac:dyDescent="0.25">
      <c r="I266" s="36"/>
    </row>
    <row r="267" spans="9:9" x14ac:dyDescent="0.25">
      <c r="I267" s="36"/>
    </row>
    <row r="268" spans="9:9" x14ac:dyDescent="0.25">
      <c r="I268" s="36"/>
    </row>
    <row r="269" spans="9:9" x14ac:dyDescent="0.25">
      <c r="I269" s="36"/>
    </row>
    <row r="270" spans="9:9" x14ac:dyDescent="0.25">
      <c r="I270" s="36"/>
    </row>
    <row r="271" spans="9:9" x14ac:dyDescent="0.25">
      <c r="I271" s="36"/>
    </row>
    <row r="272" spans="9:9" x14ac:dyDescent="0.25">
      <c r="I272" s="36"/>
    </row>
    <row r="273" spans="9:9" x14ac:dyDescent="0.25">
      <c r="I273" s="36"/>
    </row>
    <row r="274" spans="9:9" x14ac:dyDescent="0.25">
      <c r="I274" s="36"/>
    </row>
    <row r="275" spans="9:9" x14ac:dyDescent="0.25">
      <c r="I275" s="36"/>
    </row>
    <row r="276" spans="9:9" x14ac:dyDescent="0.25">
      <c r="I276" s="36"/>
    </row>
    <row r="277" spans="9:9" x14ac:dyDescent="0.25">
      <c r="I277" s="36"/>
    </row>
    <row r="278" spans="9:9" x14ac:dyDescent="0.25">
      <c r="I278" s="36"/>
    </row>
    <row r="279" spans="9:9" x14ac:dyDescent="0.25">
      <c r="I279" s="36"/>
    </row>
    <row r="280" spans="9:9" x14ac:dyDescent="0.25">
      <c r="I280" s="36"/>
    </row>
    <row r="281" spans="9:9" x14ac:dyDescent="0.25">
      <c r="I281" s="36"/>
    </row>
    <row r="282" spans="9:9" x14ac:dyDescent="0.25">
      <c r="I282" s="36"/>
    </row>
    <row r="283" spans="9:9" x14ac:dyDescent="0.25">
      <c r="I283" s="36"/>
    </row>
    <row r="284" spans="9:9" x14ac:dyDescent="0.25">
      <c r="I284" s="36"/>
    </row>
    <row r="285" spans="9:9" x14ac:dyDescent="0.25">
      <c r="I285" s="36"/>
    </row>
    <row r="286" spans="9:9" x14ac:dyDescent="0.25">
      <c r="I286" s="36"/>
    </row>
    <row r="287" spans="9:9" x14ac:dyDescent="0.25">
      <c r="I287" s="36"/>
    </row>
    <row r="288" spans="9:9" x14ac:dyDescent="0.25">
      <c r="I288" s="36"/>
    </row>
    <row r="289" spans="9:9" x14ac:dyDescent="0.25">
      <c r="I289" s="36"/>
    </row>
    <row r="290" spans="9:9" x14ac:dyDescent="0.25">
      <c r="I290" s="36"/>
    </row>
    <row r="291" spans="9:9" x14ac:dyDescent="0.25">
      <c r="I291" s="36"/>
    </row>
    <row r="292" spans="9:9" x14ac:dyDescent="0.25">
      <c r="I292" s="36"/>
    </row>
    <row r="293" spans="9:9" x14ac:dyDescent="0.25">
      <c r="I293" s="36"/>
    </row>
    <row r="294" spans="9:9" x14ac:dyDescent="0.25">
      <c r="I294" s="36"/>
    </row>
    <row r="295" spans="9:9" x14ac:dyDescent="0.25">
      <c r="I295" s="36"/>
    </row>
    <row r="296" spans="9:9" x14ac:dyDescent="0.25">
      <c r="I296" s="36"/>
    </row>
    <row r="297" spans="9:9" x14ac:dyDescent="0.25">
      <c r="I297" s="36"/>
    </row>
    <row r="298" spans="9:9" x14ac:dyDescent="0.25">
      <c r="I298" s="36"/>
    </row>
    <row r="299" spans="9:9" x14ac:dyDescent="0.25">
      <c r="I299" s="36"/>
    </row>
    <row r="300" spans="9:9" x14ac:dyDescent="0.25">
      <c r="I300" s="36"/>
    </row>
    <row r="301" spans="9:9" x14ac:dyDescent="0.25">
      <c r="I301" s="36"/>
    </row>
    <row r="302" spans="9:9" x14ac:dyDescent="0.25">
      <c r="I302" s="36"/>
    </row>
    <row r="303" spans="9:9" x14ac:dyDescent="0.25">
      <c r="I303" s="36"/>
    </row>
    <row r="304" spans="9:9" x14ac:dyDescent="0.25">
      <c r="I304" s="36"/>
    </row>
    <row r="305" spans="9:9" x14ac:dyDescent="0.25">
      <c r="I305" s="36"/>
    </row>
    <row r="306" spans="9:9" x14ac:dyDescent="0.25">
      <c r="I306" s="36"/>
    </row>
    <row r="307" spans="9:9" x14ac:dyDescent="0.25">
      <c r="I307" s="36"/>
    </row>
    <row r="308" spans="9:9" x14ac:dyDescent="0.25">
      <c r="I308" s="36"/>
    </row>
    <row r="309" spans="9:9" x14ac:dyDescent="0.25">
      <c r="I309" s="36"/>
    </row>
    <row r="310" spans="9:9" x14ac:dyDescent="0.25">
      <c r="I310" s="36"/>
    </row>
    <row r="311" spans="9:9" x14ac:dyDescent="0.25">
      <c r="I311" s="36"/>
    </row>
    <row r="312" spans="9:9" x14ac:dyDescent="0.25">
      <c r="I312" s="36"/>
    </row>
    <row r="313" spans="9:9" x14ac:dyDescent="0.25">
      <c r="I313" s="36"/>
    </row>
    <row r="314" spans="9:9" x14ac:dyDescent="0.25">
      <c r="I314" s="36"/>
    </row>
    <row r="315" spans="9:9" x14ac:dyDescent="0.25">
      <c r="I315" s="36"/>
    </row>
    <row r="316" spans="9:9" x14ac:dyDescent="0.25">
      <c r="I316" s="36"/>
    </row>
    <row r="317" spans="9:9" x14ac:dyDescent="0.25">
      <c r="I317" s="36"/>
    </row>
    <row r="318" spans="9:9" x14ac:dyDescent="0.25">
      <c r="I318" s="36"/>
    </row>
    <row r="319" spans="9:9" x14ac:dyDescent="0.25">
      <c r="I319" s="36"/>
    </row>
    <row r="320" spans="9:9" x14ac:dyDescent="0.25">
      <c r="I320" s="36"/>
    </row>
    <row r="321" spans="9:9" x14ac:dyDescent="0.25">
      <c r="I321" s="36"/>
    </row>
    <row r="322" spans="9:9" x14ac:dyDescent="0.25">
      <c r="I322" s="36"/>
    </row>
    <row r="323" spans="9:9" x14ac:dyDescent="0.25">
      <c r="I323" s="36"/>
    </row>
    <row r="324" spans="9:9" x14ac:dyDescent="0.25">
      <c r="I324" s="36"/>
    </row>
    <row r="325" spans="9:9" x14ac:dyDescent="0.25">
      <c r="I325" s="36"/>
    </row>
    <row r="326" spans="9:9" x14ac:dyDescent="0.25">
      <c r="I326" s="36"/>
    </row>
    <row r="327" spans="9:9" x14ac:dyDescent="0.25">
      <c r="I327" s="36"/>
    </row>
    <row r="328" spans="9:9" x14ac:dyDescent="0.25">
      <c r="I328" s="36"/>
    </row>
    <row r="329" spans="9:9" x14ac:dyDescent="0.25">
      <c r="I329" s="36"/>
    </row>
    <row r="330" spans="9:9" x14ac:dyDescent="0.25">
      <c r="I330" s="36"/>
    </row>
    <row r="331" spans="9:9" x14ac:dyDescent="0.25">
      <c r="I331" s="36"/>
    </row>
    <row r="332" spans="9:9" x14ac:dyDescent="0.25">
      <c r="I332" s="36"/>
    </row>
    <row r="333" spans="9:9" x14ac:dyDescent="0.25">
      <c r="I333" s="36"/>
    </row>
    <row r="334" spans="9:9" x14ac:dyDescent="0.25">
      <c r="I334" s="36"/>
    </row>
    <row r="335" spans="9:9" x14ac:dyDescent="0.25">
      <c r="I335" s="36"/>
    </row>
    <row r="336" spans="9:9" x14ac:dyDescent="0.25">
      <c r="I336" s="36"/>
    </row>
    <row r="337" spans="9:9" x14ac:dyDescent="0.25">
      <c r="I337" s="36"/>
    </row>
    <row r="338" spans="9:9" x14ac:dyDescent="0.25">
      <c r="I338" s="36"/>
    </row>
    <row r="339" spans="9:9" x14ac:dyDescent="0.25">
      <c r="I339" s="36"/>
    </row>
    <row r="340" spans="9:9" x14ac:dyDescent="0.25">
      <c r="I340" s="36"/>
    </row>
    <row r="341" spans="9:9" x14ac:dyDescent="0.25">
      <c r="I341" s="36"/>
    </row>
    <row r="342" spans="9:9" x14ac:dyDescent="0.25">
      <c r="I342" s="36"/>
    </row>
    <row r="343" spans="9:9" x14ac:dyDescent="0.25">
      <c r="I343" s="36"/>
    </row>
    <row r="344" spans="9:9" x14ac:dyDescent="0.25">
      <c r="I344" s="36"/>
    </row>
    <row r="345" spans="9:9" x14ac:dyDescent="0.25">
      <c r="I345" s="36"/>
    </row>
    <row r="346" spans="9:9" x14ac:dyDescent="0.25">
      <c r="I346" s="36"/>
    </row>
    <row r="347" spans="9:9" x14ac:dyDescent="0.25">
      <c r="I347" s="36"/>
    </row>
    <row r="348" spans="9:9" x14ac:dyDescent="0.25">
      <c r="I348" s="36"/>
    </row>
    <row r="349" spans="9:9" x14ac:dyDescent="0.25">
      <c r="I349" s="36"/>
    </row>
    <row r="350" spans="9:9" x14ac:dyDescent="0.25">
      <c r="I350" s="36"/>
    </row>
    <row r="351" spans="9:9" x14ac:dyDescent="0.25">
      <c r="I351" s="36"/>
    </row>
    <row r="352" spans="9:9" x14ac:dyDescent="0.25">
      <c r="I352" s="36"/>
    </row>
    <row r="353" spans="9:9" x14ac:dyDescent="0.25">
      <c r="I353" s="36"/>
    </row>
    <row r="354" spans="9:9" x14ac:dyDescent="0.25">
      <c r="I354" s="36"/>
    </row>
    <row r="355" spans="9:9" x14ac:dyDescent="0.25">
      <c r="I355" s="36"/>
    </row>
    <row r="356" spans="9:9" x14ac:dyDescent="0.25">
      <c r="I356" s="36"/>
    </row>
    <row r="357" spans="9:9" x14ac:dyDescent="0.25">
      <c r="I357" s="36"/>
    </row>
    <row r="358" spans="9:9" x14ac:dyDescent="0.25">
      <c r="I358" s="36"/>
    </row>
    <row r="359" spans="9:9" x14ac:dyDescent="0.25">
      <c r="I359" s="36"/>
    </row>
    <row r="360" spans="9:9" x14ac:dyDescent="0.25">
      <c r="I360" s="36"/>
    </row>
    <row r="361" spans="9:9" x14ac:dyDescent="0.25">
      <c r="I361" s="36"/>
    </row>
    <row r="362" spans="9:9" x14ac:dyDescent="0.25">
      <c r="I362" s="36"/>
    </row>
    <row r="363" spans="9:9" x14ac:dyDescent="0.25">
      <c r="I363" s="36"/>
    </row>
    <row r="364" spans="9:9" x14ac:dyDescent="0.25">
      <c r="I364" s="36"/>
    </row>
    <row r="365" spans="9:9" x14ac:dyDescent="0.25">
      <c r="I365" s="36"/>
    </row>
    <row r="366" spans="9:9" x14ac:dyDescent="0.25">
      <c r="I366" s="36"/>
    </row>
    <row r="367" spans="9:9" x14ac:dyDescent="0.25">
      <c r="I367" s="36"/>
    </row>
    <row r="368" spans="9:9" x14ac:dyDescent="0.25">
      <c r="I368" s="36"/>
    </row>
    <row r="369" spans="9:9" x14ac:dyDescent="0.25">
      <c r="I369" s="36"/>
    </row>
    <row r="370" spans="9:9" x14ac:dyDescent="0.25">
      <c r="I370" s="36"/>
    </row>
    <row r="371" spans="9:9" x14ac:dyDescent="0.25">
      <c r="I371" s="36"/>
    </row>
    <row r="372" spans="9:9" x14ac:dyDescent="0.25">
      <c r="I372" s="36"/>
    </row>
    <row r="373" spans="9:9" x14ac:dyDescent="0.25">
      <c r="I373" s="36"/>
    </row>
    <row r="374" spans="9:9" x14ac:dyDescent="0.25">
      <c r="I374" s="36"/>
    </row>
    <row r="375" spans="9:9" x14ac:dyDescent="0.25">
      <c r="I375" s="36"/>
    </row>
    <row r="376" spans="9:9" x14ac:dyDescent="0.25">
      <c r="I376" s="36"/>
    </row>
    <row r="377" spans="9:9" x14ac:dyDescent="0.25">
      <c r="I377" s="36"/>
    </row>
    <row r="378" spans="9:9" x14ac:dyDescent="0.25">
      <c r="I378" s="36"/>
    </row>
    <row r="379" spans="9:9" x14ac:dyDescent="0.25">
      <c r="I379" s="36"/>
    </row>
    <row r="380" spans="9:9" x14ac:dyDescent="0.25">
      <c r="I380" s="36"/>
    </row>
    <row r="381" spans="9:9" x14ac:dyDescent="0.25">
      <c r="I381" s="36"/>
    </row>
    <row r="382" spans="9:9" x14ac:dyDescent="0.25">
      <c r="I382" s="36"/>
    </row>
    <row r="383" spans="9:9" x14ac:dyDescent="0.25">
      <c r="I383" s="36"/>
    </row>
    <row r="384" spans="9:9" x14ac:dyDescent="0.25">
      <c r="I384" s="36"/>
    </row>
    <row r="385" spans="9:9" x14ac:dyDescent="0.25">
      <c r="I385" s="36"/>
    </row>
    <row r="386" spans="9:9" x14ac:dyDescent="0.25">
      <c r="I386" s="36"/>
    </row>
    <row r="387" spans="9:9" x14ac:dyDescent="0.25">
      <c r="I387" s="36"/>
    </row>
    <row r="388" spans="9:9" x14ac:dyDescent="0.25">
      <c r="I388" s="36"/>
    </row>
    <row r="389" spans="9:9" x14ac:dyDescent="0.25">
      <c r="I389" s="36"/>
    </row>
    <row r="390" spans="9:9" x14ac:dyDescent="0.25">
      <c r="I390" s="36"/>
    </row>
    <row r="391" spans="9:9" x14ac:dyDescent="0.25">
      <c r="I391" s="36"/>
    </row>
    <row r="392" spans="9:9" x14ac:dyDescent="0.25">
      <c r="I392" s="36"/>
    </row>
    <row r="393" spans="9:9" x14ac:dyDescent="0.25">
      <c r="I393" s="36"/>
    </row>
    <row r="394" spans="9:9" x14ac:dyDescent="0.25">
      <c r="I394" s="36"/>
    </row>
    <row r="395" spans="9:9" x14ac:dyDescent="0.25">
      <c r="I395" s="36"/>
    </row>
    <row r="396" spans="9:9" x14ac:dyDescent="0.25">
      <c r="I396" s="36"/>
    </row>
    <row r="397" spans="9:9" x14ac:dyDescent="0.25">
      <c r="I397" s="36"/>
    </row>
    <row r="398" spans="9:9" x14ac:dyDescent="0.25">
      <c r="I398" s="36"/>
    </row>
    <row r="399" spans="9:9" x14ac:dyDescent="0.25">
      <c r="I399" s="36"/>
    </row>
    <row r="400" spans="9:9" x14ac:dyDescent="0.25">
      <c r="I400" s="36"/>
    </row>
    <row r="401" spans="9:9" x14ac:dyDescent="0.25">
      <c r="I401" s="36"/>
    </row>
    <row r="402" spans="9:9" x14ac:dyDescent="0.25">
      <c r="I402" s="36"/>
    </row>
    <row r="403" spans="9:9" x14ac:dyDescent="0.25">
      <c r="I403" s="36"/>
    </row>
    <row r="404" spans="9:9" x14ac:dyDescent="0.25">
      <c r="I404" s="36"/>
    </row>
    <row r="405" spans="9:9" x14ac:dyDescent="0.25">
      <c r="I405" s="36"/>
    </row>
    <row r="406" spans="9:9" x14ac:dyDescent="0.25">
      <c r="I406" s="36"/>
    </row>
    <row r="407" spans="9:9" x14ac:dyDescent="0.25">
      <c r="I407" s="36"/>
    </row>
    <row r="408" spans="9:9" x14ac:dyDescent="0.25">
      <c r="I408" s="36"/>
    </row>
    <row r="409" spans="9:9" x14ac:dyDescent="0.25">
      <c r="I409" s="36"/>
    </row>
    <row r="410" spans="9:9" x14ac:dyDescent="0.25">
      <c r="I410" s="36"/>
    </row>
    <row r="411" spans="9:9" x14ac:dyDescent="0.25">
      <c r="I411" s="36"/>
    </row>
    <row r="412" spans="9:9" x14ac:dyDescent="0.25">
      <c r="I412" s="36"/>
    </row>
    <row r="413" spans="9:9" x14ac:dyDescent="0.25">
      <c r="I413" s="36"/>
    </row>
    <row r="414" spans="9:9" x14ac:dyDescent="0.25">
      <c r="I414" s="36"/>
    </row>
    <row r="415" spans="9:9" x14ac:dyDescent="0.25">
      <c r="I415" s="36"/>
    </row>
    <row r="416" spans="9:9" x14ac:dyDescent="0.25">
      <c r="I416" s="36"/>
    </row>
    <row r="417" spans="9:9" x14ac:dyDescent="0.25">
      <c r="I417" s="36"/>
    </row>
    <row r="418" spans="9:9" x14ac:dyDescent="0.25">
      <c r="I418" s="36"/>
    </row>
    <row r="419" spans="9:9" x14ac:dyDescent="0.25">
      <c r="I419" s="36"/>
    </row>
    <row r="420" spans="9:9" x14ac:dyDescent="0.25">
      <c r="I420" s="36"/>
    </row>
  </sheetData>
  <mergeCells count="11">
    <mergeCell ref="M20:Q20"/>
    <mergeCell ref="B1:Q1"/>
    <mergeCell ref="M36:Q36"/>
    <mergeCell ref="B37:E37"/>
    <mergeCell ref="N7:O7"/>
    <mergeCell ref="B5:E5"/>
    <mergeCell ref="F6:F7"/>
    <mergeCell ref="G6:G7"/>
    <mergeCell ref="H6:H7"/>
    <mergeCell ref="K6:K7"/>
    <mergeCell ref="L6:L7"/>
  </mergeCells>
  <printOptions horizontalCentered="1"/>
  <pageMargins left="0.7" right="0.7" top="1.1000000000000001" bottom="0.75" header="0.7" footer="0.3"/>
  <pageSetup scale="58" orientation="landscape" r:id="rId1"/>
  <headerFooter scaleWithDoc="0">
    <oddHeader>&amp;R&amp;"Times New Roman,Bold"&amp;8Docket No. 25-057-06
UAE Exhibit RR 1.4
Page 5 of 5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8680-E3D4-40D2-B63C-249C38D49B83}">
  <sheetPr>
    <pageSetUpPr fitToPage="1"/>
  </sheetPr>
  <dimension ref="A1:F56"/>
  <sheetViews>
    <sheetView tabSelected="1" zoomScaleNormal="100" workbookViewId="0">
      <selection activeCell="B2" sqref="B2:D2"/>
    </sheetView>
  </sheetViews>
  <sheetFormatPr defaultRowHeight="15" x14ac:dyDescent="0.25"/>
  <cols>
    <col min="1" max="1" width="6" customWidth="1"/>
    <col min="2" max="2" width="47.7109375" customWidth="1"/>
    <col min="3" max="4" width="21.140625" customWidth="1"/>
    <col min="5" max="5" width="23.5703125" customWidth="1"/>
    <col min="6" max="6" width="13.28515625" bestFit="1" customWidth="1"/>
  </cols>
  <sheetData>
    <row r="1" spans="1:5" ht="18.75" x14ac:dyDescent="0.3">
      <c r="A1" s="262" t="s">
        <v>215</v>
      </c>
      <c r="B1" s="262"/>
      <c r="C1" s="262"/>
      <c r="D1" s="262"/>
    </row>
    <row r="2" spans="1:5" x14ac:dyDescent="0.25">
      <c r="A2" s="245"/>
      <c r="B2" s="264" t="s">
        <v>281</v>
      </c>
      <c r="C2" s="264"/>
      <c r="D2" s="264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2" t="s">
        <v>36</v>
      </c>
      <c r="D4" s="2" t="s">
        <v>0</v>
      </c>
    </row>
    <row r="5" spans="1:5" ht="9" customHeight="1" x14ac:dyDescent="0.25">
      <c r="A5" s="1"/>
      <c r="B5" s="1"/>
      <c r="C5" s="2"/>
      <c r="D5" s="2"/>
    </row>
    <row r="6" spans="1:5" ht="47.25" customHeight="1" x14ac:dyDescent="0.25">
      <c r="A6" s="3" t="s">
        <v>1</v>
      </c>
      <c r="B6" s="1"/>
      <c r="C6" s="2" t="s">
        <v>271</v>
      </c>
      <c r="D6" s="2" t="s">
        <v>271</v>
      </c>
    </row>
    <row r="7" spans="1:5" x14ac:dyDescent="0.25">
      <c r="A7" s="4"/>
      <c r="B7" s="1"/>
      <c r="C7" s="4" t="s">
        <v>2</v>
      </c>
      <c r="D7" s="4" t="s">
        <v>3</v>
      </c>
      <c r="E7" s="5"/>
    </row>
    <row r="8" spans="1:5" x14ac:dyDescent="0.25">
      <c r="A8" s="4">
        <v>1</v>
      </c>
      <c r="B8" s="1" t="s">
        <v>4</v>
      </c>
      <c r="C8" s="6"/>
      <c r="D8" s="6"/>
      <c r="E8" s="5"/>
    </row>
    <row r="9" spans="1:5" x14ac:dyDescent="0.25">
      <c r="A9" s="4">
        <v>2</v>
      </c>
      <c r="B9" s="7" t="s">
        <v>5</v>
      </c>
      <c r="C9" s="8">
        <v>-1.4733109474182129</v>
      </c>
      <c r="D9" s="8">
        <v>0</v>
      </c>
    </row>
    <row r="10" spans="1:5" x14ac:dyDescent="0.25">
      <c r="A10" s="4">
        <v>3</v>
      </c>
      <c r="B10" s="7" t="s">
        <v>6</v>
      </c>
      <c r="C10" s="8">
        <v>-0.18200844526290894</v>
      </c>
      <c r="D10" s="8">
        <v>0</v>
      </c>
    </row>
    <row r="11" spans="1:5" x14ac:dyDescent="0.25">
      <c r="A11" s="4">
        <v>4</v>
      </c>
      <c r="B11" s="7" t="s">
        <v>7</v>
      </c>
      <c r="C11" s="8">
        <v>-179.31013965606689</v>
      </c>
      <c r="D11" s="8">
        <v>0</v>
      </c>
    </row>
    <row r="12" spans="1:5" x14ac:dyDescent="0.25">
      <c r="A12" s="4">
        <v>5</v>
      </c>
      <c r="B12" s="7" t="s">
        <v>8</v>
      </c>
      <c r="C12" s="8">
        <v>0</v>
      </c>
      <c r="D12" s="8">
        <v>0</v>
      </c>
    </row>
    <row r="13" spans="1:5" x14ac:dyDescent="0.25">
      <c r="A13" s="4">
        <v>6</v>
      </c>
      <c r="B13" s="7" t="s">
        <v>9</v>
      </c>
      <c r="C13" s="9">
        <v>0</v>
      </c>
      <c r="D13" s="9">
        <v>0</v>
      </c>
    </row>
    <row r="14" spans="1:5" x14ac:dyDescent="0.25">
      <c r="A14" s="4">
        <v>7</v>
      </c>
      <c r="B14" s="1" t="s">
        <v>10</v>
      </c>
      <c r="C14" s="8">
        <f>SUM(C9:C13)</f>
        <v>-180.96545904874802</v>
      </c>
      <c r="D14" s="8">
        <f>SUM(D9:D13)</f>
        <v>0</v>
      </c>
    </row>
    <row r="15" spans="1:5" ht="9" customHeight="1" x14ac:dyDescent="0.25">
      <c r="A15" s="4"/>
      <c r="B15" s="1"/>
      <c r="C15" s="8"/>
      <c r="D15" s="8"/>
    </row>
    <row r="16" spans="1:5" x14ac:dyDescent="0.25">
      <c r="A16" s="4">
        <v>8</v>
      </c>
      <c r="B16" s="1" t="s">
        <v>11</v>
      </c>
      <c r="C16" s="8"/>
      <c r="D16" s="8"/>
    </row>
    <row r="17" spans="1:4" x14ac:dyDescent="0.25">
      <c r="A17" s="4">
        <v>9</v>
      </c>
      <c r="B17" s="7" t="s">
        <v>12</v>
      </c>
      <c r="C17" s="8"/>
      <c r="D17" s="8"/>
    </row>
    <row r="18" spans="1:4" x14ac:dyDescent="0.25">
      <c r="A18" s="4">
        <v>10</v>
      </c>
      <c r="B18" s="7" t="s">
        <v>13</v>
      </c>
      <c r="C18" s="8">
        <v>0</v>
      </c>
      <c r="D18" s="8">
        <v>0</v>
      </c>
    </row>
    <row r="19" spans="1:4" x14ac:dyDescent="0.25">
      <c r="A19" s="4">
        <v>11</v>
      </c>
      <c r="B19" s="7" t="s">
        <v>14</v>
      </c>
      <c r="C19" s="9">
        <v>0</v>
      </c>
      <c r="D19" s="9">
        <v>0</v>
      </c>
    </row>
    <row r="20" spans="1:4" x14ac:dyDescent="0.25">
      <c r="A20" s="4">
        <v>12</v>
      </c>
      <c r="B20" s="1" t="s">
        <v>15</v>
      </c>
      <c r="C20" s="8">
        <f>SUM(C18:C19)</f>
        <v>0</v>
      </c>
      <c r="D20" s="8">
        <f>SUM(D18:D19)</f>
        <v>0</v>
      </c>
    </row>
    <row r="21" spans="1:4" ht="9" customHeight="1" x14ac:dyDescent="0.25">
      <c r="A21" s="4"/>
      <c r="B21" s="1"/>
      <c r="C21" s="8"/>
      <c r="D21" s="8"/>
    </row>
    <row r="22" spans="1:4" x14ac:dyDescent="0.25">
      <c r="A22" s="4">
        <v>13</v>
      </c>
      <c r="B22" s="1" t="s">
        <v>16</v>
      </c>
      <c r="C22" s="34"/>
      <c r="D22" s="34"/>
    </row>
    <row r="23" spans="1:4" x14ac:dyDescent="0.25">
      <c r="A23" s="4">
        <v>14</v>
      </c>
      <c r="B23" s="7" t="s">
        <v>17</v>
      </c>
      <c r="C23" s="34">
        <v>0</v>
      </c>
      <c r="D23" s="34">
        <v>0</v>
      </c>
    </row>
    <row r="24" spans="1:4" x14ac:dyDescent="0.25">
      <c r="A24" s="4">
        <v>15</v>
      </c>
      <c r="B24" s="7" t="s">
        <v>82</v>
      </c>
      <c r="C24" s="34">
        <v>0</v>
      </c>
      <c r="D24" s="34">
        <v>0</v>
      </c>
    </row>
    <row r="25" spans="1:4" x14ac:dyDescent="0.25">
      <c r="A25" s="4">
        <v>16</v>
      </c>
      <c r="B25" s="7" t="s">
        <v>18</v>
      </c>
      <c r="C25" s="34">
        <v>0</v>
      </c>
      <c r="D25" s="34">
        <v>0</v>
      </c>
    </row>
    <row r="26" spans="1:4" x14ac:dyDescent="0.25">
      <c r="A26" s="4">
        <v>17</v>
      </c>
      <c r="B26" s="7" t="s">
        <v>19</v>
      </c>
      <c r="C26" s="34">
        <v>-0.51319973170757294</v>
      </c>
      <c r="D26" s="34">
        <v>0</v>
      </c>
    </row>
    <row r="27" spans="1:4" x14ac:dyDescent="0.25">
      <c r="A27" s="4">
        <v>18</v>
      </c>
      <c r="B27" s="7" t="s">
        <v>20</v>
      </c>
      <c r="C27" s="34">
        <v>0</v>
      </c>
      <c r="D27" s="34">
        <v>0</v>
      </c>
    </row>
    <row r="28" spans="1:4" x14ac:dyDescent="0.25">
      <c r="A28" s="4">
        <v>19</v>
      </c>
      <c r="B28" s="7" t="s">
        <v>21</v>
      </c>
      <c r="C28" s="9">
        <v>0</v>
      </c>
      <c r="D28" s="9">
        <v>0</v>
      </c>
    </row>
    <row r="29" spans="1:4" x14ac:dyDescent="0.25">
      <c r="A29" s="4">
        <v>20</v>
      </c>
      <c r="B29" s="1" t="s">
        <v>22</v>
      </c>
      <c r="C29" s="34">
        <v>0</v>
      </c>
      <c r="D29" s="8">
        <f>SUM(D23:D28)</f>
        <v>0</v>
      </c>
    </row>
    <row r="30" spans="1:4" ht="9" customHeight="1" x14ac:dyDescent="0.25">
      <c r="A30" s="4"/>
      <c r="B30" s="1"/>
      <c r="C30" s="8"/>
      <c r="D30" s="8"/>
    </row>
    <row r="31" spans="1:4" x14ac:dyDescent="0.25">
      <c r="A31" s="4">
        <v>21</v>
      </c>
      <c r="B31" s="1" t="s">
        <v>23</v>
      </c>
      <c r="C31" s="8"/>
      <c r="D31" s="8"/>
    </row>
    <row r="32" spans="1:4" x14ac:dyDescent="0.25">
      <c r="A32" s="4">
        <v>22</v>
      </c>
      <c r="B32" s="7" t="s">
        <v>24</v>
      </c>
      <c r="C32" s="120">
        <v>0</v>
      </c>
      <c r="D32" s="8">
        <v>0</v>
      </c>
    </row>
    <row r="33" spans="1:6" x14ac:dyDescent="0.25">
      <c r="A33" s="4">
        <v>23</v>
      </c>
      <c r="B33" s="7" t="s">
        <v>25</v>
      </c>
      <c r="C33" s="8">
        <v>0</v>
      </c>
      <c r="D33" s="8">
        <v>0</v>
      </c>
      <c r="E33" s="108"/>
    </row>
    <row r="34" spans="1:6" x14ac:dyDescent="0.25">
      <c r="A34" s="4">
        <v>24</v>
      </c>
      <c r="B34" s="7" t="s">
        <v>26</v>
      </c>
      <c r="C34" s="166">
        <v>-1377021.1528557837</v>
      </c>
      <c r="D34" s="9">
        <v>-1342945.3279728591</v>
      </c>
    </row>
    <row r="35" spans="1:6" x14ac:dyDescent="0.25">
      <c r="A35" s="4">
        <v>25</v>
      </c>
      <c r="B35" s="1" t="s">
        <v>27</v>
      </c>
      <c r="C35" s="8">
        <f>SUM(C32:C34)</f>
        <v>-1377021.1528557837</v>
      </c>
      <c r="D35" s="8">
        <f>SUM(D32:D34)</f>
        <v>-1342945.3279728591</v>
      </c>
    </row>
    <row r="36" spans="1:6" x14ac:dyDescent="0.25">
      <c r="A36" s="4"/>
      <c r="B36" s="1"/>
      <c r="C36" s="8"/>
      <c r="D36" s="8"/>
    </row>
    <row r="37" spans="1:6" ht="9" customHeight="1" x14ac:dyDescent="0.25">
      <c r="A37" s="4"/>
      <c r="B37" s="1"/>
      <c r="C37" s="8"/>
      <c r="D37" s="8"/>
    </row>
    <row r="38" spans="1:6" x14ac:dyDescent="0.25">
      <c r="A38" s="4">
        <v>26</v>
      </c>
      <c r="B38" s="1" t="s">
        <v>28</v>
      </c>
      <c r="C38" s="9">
        <f>C29+C35</f>
        <v>-1377021.1528557837</v>
      </c>
      <c r="D38" s="9">
        <f>D29+D35</f>
        <v>-1342945.3279728591</v>
      </c>
    </row>
    <row r="39" spans="1:6" ht="9" customHeight="1" x14ac:dyDescent="0.25">
      <c r="A39" s="4"/>
      <c r="B39" s="1"/>
      <c r="C39" s="8"/>
      <c r="D39" s="8"/>
    </row>
    <row r="40" spans="1:6" ht="9" customHeight="1" x14ac:dyDescent="0.25">
      <c r="A40" s="4"/>
      <c r="B40" s="1"/>
      <c r="C40" s="8"/>
      <c r="D40" s="8"/>
    </row>
    <row r="41" spans="1:6" ht="15.75" thickBot="1" x14ac:dyDescent="0.3">
      <c r="A41" s="4">
        <v>27</v>
      </c>
      <c r="B41" s="1" t="s">
        <v>29</v>
      </c>
      <c r="C41" s="10">
        <f>-C38</f>
        <v>1377021.1528557837</v>
      </c>
      <c r="D41" s="10">
        <f>-D38</f>
        <v>1342945.3279728591</v>
      </c>
    </row>
    <row r="42" spans="1:6" ht="9" customHeight="1" thickTop="1" x14ac:dyDescent="0.25">
      <c r="A42" s="4"/>
      <c r="B42" s="1"/>
      <c r="C42" s="11"/>
      <c r="D42" s="11"/>
    </row>
    <row r="43" spans="1:6" x14ac:dyDescent="0.25">
      <c r="A43" s="4">
        <v>28</v>
      </c>
      <c r="B43" s="1" t="s">
        <v>30</v>
      </c>
      <c r="C43" s="8">
        <v>-28344.01034784317</v>
      </c>
      <c r="D43" s="8">
        <v>-27642.597942352295</v>
      </c>
    </row>
    <row r="44" spans="1:6" ht="9" customHeight="1" x14ac:dyDescent="0.25">
      <c r="A44" s="4"/>
      <c r="B44" s="1"/>
      <c r="C44" s="11"/>
      <c r="D44" s="11"/>
    </row>
    <row r="45" spans="1:6" ht="18" x14ac:dyDescent="0.25">
      <c r="A45" s="4"/>
      <c r="B45" s="16"/>
      <c r="C45" s="11"/>
      <c r="D45" s="12"/>
      <c r="E45" s="108"/>
      <c r="F45" s="17"/>
    </row>
    <row r="46" spans="1:6" ht="9" customHeight="1" x14ac:dyDescent="0.25">
      <c r="A46" s="4"/>
      <c r="B46" s="1"/>
      <c r="C46" s="11"/>
      <c r="D46" s="11"/>
    </row>
    <row r="47" spans="1:6" x14ac:dyDescent="0.25">
      <c r="A47" s="4"/>
      <c r="B47" s="1"/>
      <c r="C47" s="11"/>
      <c r="D47" s="11"/>
    </row>
    <row r="48" spans="1:6" ht="9" customHeight="1" x14ac:dyDescent="0.25">
      <c r="A48" s="4"/>
      <c r="B48" s="1"/>
      <c r="C48" s="1"/>
      <c r="D48" s="1"/>
    </row>
    <row r="49" spans="1:4" ht="17.25" customHeight="1" x14ac:dyDescent="0.25">
      <c r="A49" s="4"/>
      <c r="B49" s="1"/>
      <c r="C49" s="1"/>
      <c r="D49" s="205"/>
    </row>
    <row r="50" spans="1:4" ht="9" customHeight="1" x14ac:dyDescent="0.25">
      <c r="A50" s="4"/>
      <c r="B50" s="1"/>
      <c r="C50" s="1"/>
      <c r="D50" s="1"/>
    </row>
    <row r="51" spans="1:4" x14ac:dyDescent="0.25">
      <c r="A51" s="4"/>
      <c r="B51" s="1"/>
      <c r="C51" s="1"/>
      <c r="D51" s="34"/>
    </row>
    <row r="52" spans="1:4" ht="9" customHeight="1" x14ac:dyDescent="0.25">
      <c r="A52" s="4"/>
      <c r="B52" s="1"/>
      <c r="C52" s="1"/>
      <c r="D52" s="1"/>
    </row>
    <row r="53" spans="1:4" x14ac:dyDescent="0.25">
      <c r="A53" s="4"/>
      <c r="B53" s="1"/>
      <c r="C53" s="1"/>
      <c r="D53" s="34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</sheetData>
  <mergeCells count="2">
    <mergeCell ref="A1:D1"/>
    <mergeCell ref="B2:D2"/>
  </mergeCells>
  <printOptions horizontalCentered="1"/>
  <pageMargins left="0.7" right="0.7" top="1.35" bottom="0.75" header="0.7" footer="0.3"/>
  <pageSetup scale="87" orientation="portrait" r:id="rId1"/>
  <headerFooter scaleWithDoc="0">
    <oddHeader>&amp;R&amp;"Times New Roman,Bold"&amp;8Docket No. 25-057-06
UAE Exhibit RR 1.5
Page 1 of 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DC30D-E239-464C-9F2B-275DEC8E2A5E}">
  <sheetPr>
    <pageSetUpPr fitToPage="1"/>
  </sheetPr>
  <dimension ref="A1:J69"/>
  <sheetViews>
    <sheetView zoomScaleNormal="100" workbookViewId="0">
      <selection activeCell="F65" sqref="F65"/>
    </sheetView>
  </sheetViews>
  <sheetFormatPr defaultRowHeight="15" x14ac:dyDescent="0.25"/>
  <cols>
    <col min="1" max="1" width="6" customWidth="1"/>
    <col min="2" max="2" width="18.7109375" customWidth="1"/>
    <col min="3" max="3" width="29.85546875" customWidth="1"/>
    <col min="4" max="5" width="23.7109375" customWidth="1"/>
    <col min="6" max="6" width="18.5703125" customWidth="1"/>
    <col min="7" max="7" width="23.7109375" customWidth="1"/>
    <col min="8" max="8" width="14.5703125" bestFit="1" customWidth="1"/>
    <col min="9" max="9" width="18.7109375" bestFit="1" customWidth="1"/>
    <col min="10" max="10" width="14.5703125" customWidth="1"/>
  </cols>
  <sheetData>
    <row r="1" spans="1:10" ht="18.75" x14ac:dyDescent="0.3">
      <c r="A1" s="293" t="s">
        <v>215</v>
      </c>
      <c r="B1" s="293"/>
      <c r="C1" s="293"/>
      <c r="D1" s="293"/>
      <c r="E1" s="293"/>
    </row>
    <row r="2" spans="1:10" ht="18.75" x14ac:dyDescent="0.3">
      <c r="A2" s="262" t="s">
        <v>280</v>
      </c>
      <c r="B2" s="262"/>
      <c r="C2" s="262"/>
      <c r="D2" s="262"/>
      <c r="E2" s="262"/>
    </row>
    <row r="3" spans="1:10" x14ac:dyDescent="0.25">
      <c r="A3" s="1"/>
      <c r="B3" s="1"/>
      <c r="C3" s="1"/>
      <c r="D3" s="1"/>
      <c r="E3" s="1"/>
    </row>
    <row r="4" spans="1:10" x14ac:dyDescent="0.25">
      <c r="A4" s="4"/>
      <c r="B4" s="4" t="s">
        <v>159</v>
      </c>
      <c r="C4" s="4"/>
      <c r="D4" s="4" t="s">
        <v>74</v>
      </c>
      <c r="E4" s="4" t="s">
        <v>76</v>
      </c>
    </row>
    <row r="5" spans="1:10" x14ac:dyDescent="0.25">
      <c r="B5" s="1"/>
      <c r="C5" s="1"/>
      <c r="D5" s="213"/>
      <c r="E5" s="213"/>
      <c r="G5" s="201"/>
      <c r="H5" s="201"/>
      <c r="I5" s="201"/>
      <c r="J5" s="201"/>
    </row>
    <row r="6" spans="1:10" ht="28.5" customHeight="1" x14ac:dyDescent="0.25">
      <c r="A6" s="3" t="s">
        <v>1</v>
      </c>
      <c r="B6" s="24"/>
      <c r="C6" s="24"/>
      <c r="D6" s="296" t="s">
        <v>245</v>
      </c>
      <c r="E6" s="296"/>
      <c r="G6" s="201"/>
      <c r="H6" s="201"/>
      <c r="I6" s="201"/>
      <c r="J6" s="201"/>
    </row>
    <row r="7" spans="1:10" ht="34.5" customHeight="1" x14ac:dyDescent="0.25">
      <c r="A7" s="4">
        <v>1</v>
      </c>
      <c r="B7" s="204"/>
      <c r="C7" s="191"/>
      <c r="D7" s="203" t="s">
        <v>213</v>
      </c>
      <c r="E7" s="248" t="s">
        <v>214</v>
      </c>
      <c r="G7" s="201"/>
      <c r="H7" s="201"/>
      <c r="I7" s="201"/>
      <c r="J7" s="201"/>
    </row>
    <row r="8" spans="1:10" ht="15" customHeight="1" x14ac:dyDescent="0.25">
      <c r="A8" s="4">
        <v>2</v>
      </c>
      <c r="B8" s="294" t="s">
        <v>287</v>
      </c>
      <c r="C8" s="295"/>
      <c r="D8" s="249">
        <v>3242317441.3158035</v>
      </c>
      <c r="E8" s="218">
        <f>D8</f>
        <v>3242317441.3158035</v>
      </c>
      <c r="G8" s="201"/>
      <c r="H8" s="201"/>
      <c r="I8" s="201"/>
      <c r="J8" s="201"/>
    </row>
    <row r="9" spans="1:10" ht="7.5" customHeight="1" x14ac:dyDescent="0.25">
      <c r="A9" s="4"/>
      <c r="B9" s="26"/>
      <c r="C9" s="1"/>
      <c r="D9" s="250"/>
      <c r="E9" s="214"/>
      <c r="G9" s="201"/>
      <c r="H9" s="201"/>
      <c r="I9" s="201"/>
      <c r="J9" s="201"/>
    </row>
    <row r="10" spans="1:10" ht="15" customHeight="1" x14ac:dyDescent="0.25">
      <c r="A10" s="4">
        <v>3</v>
      </c>
      <c r="B10" s="26" t="s">
        <v>216</v>
      </c>
      <c r="C10" s="24"/>
      <c r="D10" s="251">
        <f>SUM('UAE RR 1.1, p. 1'!D43,'UAE RR 1.2, p. 1'!D43,'UAE RR 1.3, p. 1'!D43,'UAE RR 1.4, p. 1'!D43)</f>
        <v>-7973393.3198298253</v>
      </c>
      <c r="E10" s="209">
        <f>SUM('UAE RR 1.1, p. 1'!D43,'UAE RR 1.2, p. 1'!D43,'UAE RR 1.3, p. 1'!D43,'UAE RR 1.4, p. 1'!D43,'UAE RR 1.5, p. 1'!D43)</f>
        <v>-8001035.9177721776</v>
      </c>
      <c r="G10" s="201"/>
      <c r="H10" s="201"/>
      <c r="I10" s="201"/>
      <c r="J10" s="201"/>
    </row>
    <row r="11" spans="1:10" ht="7.5" customHeight="1" x14ac:dyDescent="0.25">
      <c r="A11" s="4"/>
      <c r="B11" s="26"/>
      <c r="C11" s="24"/>
      <c r="D11" s="251"/>
      <c r="E11" s="209"/>
      <c r="G11" s="201"/>
      <c r="H11" s="201"/>
      <c r="I11" s="201"/>
      <c r="J11" s="201"/>
    </row>
    <row r="12" spans="1:10" ht="15" customHeight="1" x14ac:dyDescent="0.25">
      <c r="A12" s="4">
        <v>4</v>
      </c>
      <c r="B12" s="26" t="s">
        <v>217</v>
      </c>
      <c r="C12" s="24"/>
      <c r="D12" s="249">
        <f>D8+D10</f>
        <v>3234344047.9959736</v>
      </c>
      <c r="E12" s="218">
        <f>E8+E10</f>
        <v>3234316405.3980312</v>
      </c>
      <c r="G12" s="201"/>
      <c r="H12" s="201"/>
      <c r="I12" s="201"/>
      <c r="J12" s="201"/>
    </row>
    <row r="13" spans="1:10" ht="7.5" customHeight="1" x14ac:dyDescent="0.25">
      <c r="A13" s="4"/>
      <c r="B13" s="26"/>
      <c r="C13" s="24"/>
      <c r="D13" s="251"/>
      <c r="E13" s="209"/>
      <c r="G13" s="201"/>
      <c r="H13" s="201"/>
      <c r="I13" s="201"/>
      <c r="J13" s="201"/>
    </row>
    <row r="14" spans="1:10" ht="15" customHeight="1" x14ac:dyDescent="0.25">
      <c r="A14" s="4">
        <v>5</v>
      </c>
      <c r="B14" s="294" t="s">
        <v>219</v>
      </c>
      <c r="C14" s="295"/>
      <c r="D14" s="27">
        <f>E36</f>
        <v>7.6137274501427599E-2</v>
      </c>
      <c r="E14" s="51">
        <f>E42</f>
        <v>6.5755939303632216E-2</v>
      </c>
      <c r="G14" s="202"/>
      <c r="H14" s="202"/>
      <c r="I14" s="202"/>
      <c r="J14" s="201"/>
    </row>
    <row r="15" spans="1:10" ht="7.5" customHeight="1" x14ac:dyDescent="0.25">
      <c r="A15" s="4"/>
      <c r="B15" s="26"/>
      <c r="C15" s="24"/>
      <c r="D15" s="251"/>
      <c r="E15" s="209"/>
      <c r="G15" s="202"/>
      <c r="H15" s="202"/>
      <c r="I15" s="202"/>
      <c r="J15" s="201"/>
    </row>
    <row r="16" spans="1:10" ht="15" customHeight="1" x14ac:dyDescent="0.25">
      <c r="A16" s="4">
        <v>6</v>
      </c>
      <c r="B16" s="207" t="s">
        <v>221</v>
      </c>
      <c r="C16" s="24"/>
      <c r="D16" s="249">
        <v>165783092.4535954</v>
      </c>
      <c r="E16" s="218">
        <f>D16+'UAE RR 1.5, p. 1'!D41</f>
        <v>167126037.78156826</v>
      </c>
      <c r="G16" s="202"/>
      <c r="H16" s="202"/>
      <c r="I16" s="202"/>
      <c r="J16" s="201"/>
    </row>
    <row r="17" spans="1:10" ht="7.5" customHeight="1" x14ac:dyDescent="0.25">
      <c r="A17" s="4"/>
      <c r="B17" s="210"/>
      <c r="C17" s="24"/>
      <c r="D17" s="252"/>
      <c r="E17" s="206"/>
      <c r="G17" s="202"/>
      <c r="H17" s="202"/>
      <c r="I17" s="202"/>
      <c r="J17" s="201"/>
    </row>
    <row r="18" spans="1:10" ht="15" customHeight="1" x14ac:dyDescent="0.25">
      <c r="A18" s="4">
        <v>7</v>
      </c>
      <c r="B18" s="207" t="s">
        <v>223</v>
      </c>
      <c r="C18" s="24"/>
      <c r="D18" s="249">
        <f>D12*D14</f>
        <v>246254140.61432797</v>
      </c>
      <c r="E18" s="218">
        <f>E12*E14</f>
        <v>212675513.24209487</v>
      </c>
      <c r="G18" s="202"/>
      <c r="H18" s="202"/>
      <c r="I18" s="202"/>
      <c r="J18" s="201"/>
    </row>
    <row r="19" spans="1:10" ht="7.5" customHeight="1" x14ac:dyDescent="0.25">
      <c r="A19" s="4"/>
      <c r="B19" s="207"/>
      <c r="C19" s="24"/>
      <c r="D19" s="249"/>
      <c r="E19" s="218"/>
      <c r="G19" s="202"/>
      <c r="H19" s="202"/>
      <c r="I19" s="202"/>
      <c r="J19" s="201"/>
    </row>
    <row r="20" spans="1:10" ht="15" customHeight="1" x14ac:dyDescent="0.25">
      <c r="A20" s="4">
        <v>8</v>
      </c>
      <c r="B20" s="25" t="s">
        <v>226</v>
      </c>
      <c r="C20" s="24"/>
      <c r="D20" s="249">
        <f>D18-D16</f>
        <v>80471048.160732567</v>
      </c>
      <c r="E20" s="218">
        <f>E18-E16</f>
        <v>45549475.460526615</v>
      </c>
      <c r="G20" s="202"/>
      <c r="H20" s="202"/>
      <c r="I20" s="202"/>
      <c r="J20" s="201"/>
    </row>
    <row r="21" spans="1:10" ht="7.5" customHeight="1" x14ac:dyDescent="0.25">
      <c r="A21" s="4"/>
      <c r="B21" s="207"/>
      <c r="C21" s="24"/>
      <c r="D21" s="249"/>
      <c r="E21" s="218"/>
      <c r="G21" s="202"/>
      <c r="H21" s="202"/>
      <c r="I21" s="202"/>
      <c r="J21" s="201"/>
    </row>
    <row r="22" spans="1:10" ht="15" customHeight="1" x14ac:dyDescent="0.25">
      <c r="A22" s="4">
        <v>9</v>
      </c>
      <c r="B22" s="207" t="s">
        <v>227</v>
      </c>
      <c r="C22" s="24"/>
      <c r="D22" s="253">
        <f>D28</f>
        <v>1.328029769628339</v>
      </c>
      <c r="E22" s="211">
        <f>E28</f>
        <v>1.3279331117008719</v>
      </c>
      <c r="G22" s="202"/>
      <c r="H22" s="202"/>
      <c r="I22" s="202"/>
      <c r="J22" s="201"/>
    </row>
    <row r="23" spans="1:10" ht="7.5" customHeight="1" x14ac:dyDescent="0.25">
      <c r="A23" s="4"/>
      <c r="B23" s="207"/>
      <c r="C23" s="24"/>
      <c r="D23" s="249"/>
      <c r="E23" s="218"/>
      <c r="G23" s="202"/>
      <c r="H23" s="202"/>
      <c r="I23" s="202"/>
      <c r="J23" s="201"/>
    </row>
    <row r="24" spans="1:10" ht="15" customHeight="1" x14ac:dyDescent="0.25">
      <c r="A24" s="4">
        <v>10</v>
      </c>
      <c r="B24" s="207" t="s">
        <v>228</v>
      </c>
      <c r="C24" s="24"/>
      <c r="D24" s="249">
        <f>D20*D22</f>
        <v>106867947.55064864</v>
      </c>
      <c r="E24" s="218">
        <f>E20*E22</f>
        <v>60486656.684639618</v>
      </c>
      <c r="G24" s="224"/>
      <c r="H24" s="226"/>
      <c r="I24" s="202"/>
      <c r="J24" s="201"/>
    </row>
    <row r="25" spans="1:10" ht="7.5" customHeight="1" x14ac:dyDescent="0.25">
      <c r="A25" s="4"/>
      <c r="B25" s="26"/>
      <c r="C25" s="24"/>
      <c r="D25" s="251"/>
      <c r="E25" s="209"/>
    </row>
    <row r="26" spans="1:10" ht="15.75" customHeight="1" x14ac:dyDescent="0.25">
      <c r="A26" s="4">
        <v>11</v>
      </c>
      <c r="B26" s="25" t="s">
        <v>229</v>
      </c>
      <c r="C26" s="1"/>
      <c r="D26" s="254">
        <f>(1+E36*D50)/(1+D47*E34*D50)</f>
        <v>1.0014665888032448</v>
      </c>
      <c r="E26" s="230">
        <f>(1+E42*D50)/(1+D47*E40*D50)</f>
        <v>1.0012443681169101</v>
      </c>
      <c r="H26" s="225"/>
      <c r="I26" s="225"/>
    </row>
    <row r="27" spans="1:10" ht="15.75" customHeight="1" x14ac:dyDescent="0.25">
      <c r="A27" s="4">
        <v>12</v>
      </c>
      <c r="B27" s="25" t="s">
        <v>230</v>
      </c>
      <c r="C27" s="1"/>
      <c r="D27" s="254">
        <f>(1+E36*D50)*(1-D47)/(1-D47-D47*(E36-E34)*D50)</f>
        <v>1.001942139458041</v>
      </c>
      <c r="E27" s="230">
        <f>(1+E42*D50)*(1-D47)/(1-D47-D47*(E42-E40)*D50)</f>
        <v>1.0016477437581</v>
      </c>
      <c r="I27" s="225"/>
    </row>
    <row r="28" spans="1:10" ht="15.75" customHeight="1" x14ac:dyDescent="0.25">
      <c r="A28" s="4">
        <v>13</v>
      </c>
      <c r="B28" s="47" t="s">
        <v>231</v>
      </c>
      <c r="C28" s="15"/>
      <c r="D28" s="255">
        <f>1/((1-D26*$D$47)*(1-D27*$D$48))</f>
        <v>1.328029769628339</v>
      </c>
      <c r="E28" s="231">
        <f>1/((1-E26*$D$47)*(1-E27*$D$48))</f>
        <v>1.3279331117008719</v>
      </c>
      <c r="G28" s="212"/>
      <c r="I28" s="225"/>
    </row>
    <row r="29" spans="1:10" ht="9" customHeight="1" x14ac:dyDescent="0.25">
      <c r="A29" s="4"/>
      <c r="B29" s="24"/>
      <c r="C29" s="24"/>
      <c r="D29" s="11"/>
      <c r="E29" s="1"/>
    </row>
    <row r="30" spans="1:10" ht="18.75" customHeight="1" x14ac:dyDescent="0.25">
      <c r="A30" s="4">
        <v>14</v>
      </c>
      <c r="B30" s="220" t="s">
        <v>232</v>
      </c>
      <c r="C30" s="221"/>
      <c r="D30" s="222"/>
      <c r="E30" s="223">
        <f>E24-D24</f>
        <v>-46381290.866009027</v>
      </c>
      <c r="F30" s="257"/>
    </row>
    <row r="31" spans="1:10" ht="9" customHeight="1" x14ac:dyDescent="0.25">
      <c r="A31" s="4"/>
      <c r="B31" s="24"/>
      <c r="C31" s="24"/>
      <c r="D31" s="11"/>
      <c r="E31" s="1"/>
      <c r="I31" s="225"/>
    </row>
    <row r="32" spans="1:10" ht="18" x14ac:dyDescent="0.25">
      <c r="A32" s="4">
        <v>15</v>
      </c>
      <c r="B32" s="268" t="s">
        <v>234</v>
      </c>
      <c r="C32" s="292"/>
      <c r="D32" s="292"/>
      <c r="E32" s="269"/>
      <c r="G32" s="229"/>
    </row>
    <row r="33" spans="1:8" x14ac:dyDescent="0.25">
      <c r="A33" s="4">
        <v>16</v>
      </c>
      <c r="B33" s="25"/>
      <c r="C33" s="219" t="s">
        <v>46</v>
      </c>
      <c r="D33" s="55" t="s">
        <v>47</v>
      </c>
      <c r="E33" s="55" t="s">
        <v>48</v>
      </c>
      <c r="G33" s="212"/>
    </row>
    <row r="34" spans="1:8" x14ac:dyDescent="0.25">
      <c r="A34" s="4">
        <v>17</v>
      </c>
      <c r="B34" s="26" t="s">
        <v>49</v>
      </c>
      <c r="C34" s="27">
        <v>0.47000251440644514</v>
      </c>
      <c r="D34" s="27">
        <v>4.2462626085553373E-2</v>
      </c>
      <c r="E34" s="195">
        <f>C34*D34</f>
        <v>1.9957541028510793E-2</v>
      </c>
      <c r="G34" s="227"/>
    </row>
    <row r="35" spans="1:8" x14ac:dyDescent="0.25">
      <c r="A35" s="4">
        <v>18</v>
      </c>
      <c r="B35" s="28" t="s">
        <v>50</v>
      </c>
      <c r="C35" s="29">
        <v>0.52999748559355486</v>
      </c>
      <c r="D35" s="29">
        <v>0.106</v>
      </c>
      <c r="E35" s="30">
        <f>C35*D35</f>
        <v>5.6179733472916812E-2</v>
      </c>
      <c r="F35" s="242"/>
    </row>
    <row r="36" spans="1:8" x14ac:dyDescent="0.25">
      <c r="A36" s="4">
        <v>19</v>
      </c>
      <c r="B36" s="28" t="s">
        <v>38</v>
      </c>
      <c r="C36" s="30">
        <f>SUM(C34:C35)</f>
        <v>1</v>
      </c>
      <c r="D36" s="31"/>
      <c r="E36" s="30">
        <f>E34+E35</f>
        <v>7.6137274501427599E-2</v>
      </c>
      <c r="G36" s="227"/>
      <c r="H36" s="225"/>
    </row>
    <row r="37" spans="1:8" ht="9" customHeight="1" x14ac:dyDescent="0.25">
      <c r="A37" s="4"/>
      <c r="B37" s="1"/>
      <c r="C37" s="1"/>
      <c r="D37" s="1"/>
      <c r="E37" s="1"/>
    </row>
    <row r="38" spans="1:8" ht="18" x14ac:dyDescent="0.25">
      <c r="A38" s="4">
        <v>20</v>
      </c>
      <c r="B38" s="268" t="s">
        <v>236</v>
      </c>
      <c r="C38" s="292"/>
      <c r="D38" s="292"/>
      <c r="E38" s="269"/>
      <c r="G38" s="227"/>
    </row>
    <row r="39" spans="1:8" x14ac:dyDescent="0.25">
      <c r="A39" s="4">
        <v>21</v>
      </c>
      <c r="B39" s="25"/>
      <c r="C39" s="219" t="s">
        <v>46</v>
      </c>
      <c r="D39" s="55" t="s">
        <v>47</v>
      </c>
      <c r="E39" s="199" t="s">
        <v>48</v>
      </c>
    </row>
    <row r="40" spans="1:8" x14ac:dyDescent="0.25">
      <c r="A40" s="4">
        <v>22</v>
      </c>
      <c r="B40" s="26" t="s">
        <v>49</v>
      </c>
      <c r="C40" s="27">
        <v>0.51</v>
      </c>
      <c r="D40" s="27">
        <f>D34</f>
        <v>4.2462626085553373E-2</v>
      </c>
      <c r="E40" s="196">
        <f>C40*D40</f>
        <v>2.1655939303632219E-2</v>
      </c>
      <c r="G40" s="228"/>
    </row>
    <row r="41" spans="1:8" x14ac:dyDescent="0.25">
      <c r="A41" s="4">
        <v>23</v>
      </c>
      <c r="B41" s="28" t="s">
        <v>50</v>
      </c>
      <c r="C41" s="27">
        <v>0.49</v>
      </c>
      <c r="D41" s="27">
        <v>0.09</v>
      </c>
      <c r="E41" s="197">
        <f>C41*D41</f>
        <v>4.41E-2</v>
      </c>
      <c r="F41" s="242"/>
      <c r="G41" s="243"/>
    </row>
    <row r="42" spans="1:8" x14ac:dyDescent="0.25">
      <c r="A42" s="4">
        <v>24</v>
      </c>
      <c r="B42" s="28" t="s">
        <v>38</v>
      </c>
      <c r="C42" s="217">
        <f>+SUM(C40:C41)</f>
        <v>1</v>
      </c>
      <c r="D42" s="77"/>
      <c r="E42" s="197">
        <f>E40+E41</f>
        <v>6.5755939303632216E-2</v>
      </c>
      <c r="G42" s="212"/>
      <c r="H42" s="225"/>
    </row>
    <row r="43" spans="1:8" ht="9" customHeight="1" x14ac:dyDescent="0.25">
      <c r="A43" s="4"/>
      <c r="B43" s="24"/>
      <c r="C43" s="80"/>
      <c r="D43" s="1"/>
      <c r="E43" s="80"/>
    </row>
    <row r="44" spans="1:8" ht="18" x14ac:dyDescent="0.25">
      <c r="A44" s="4">
        <v>25</v>
      </c>
      <c r="B44" s="268" t="s">
        <v>238</v>
      </c>
      <c r="C44" s="292"/>
      <c r="D44" s="269"/>
      <c r="E44" s="80"/>
      <c r="G44" s="244"/>
    </row>
    <row r="45" spans="1:8" x14ac:dyDescent="0.25">
      <c r="A45" s="4">
        <v>26</v>
      </c>
      <c r="B45" s="294" t="s">
        <v>207</v>
      </c>
      <c r="C45" s="295"/>
      <c r="D45" s="215">
        <v>0.21</v>
      </c>
      <c r="E45" s="80"/>
      <c r="H45" s="225"/>
    </row>
    <row r="46" spans="1:8" x14ac:dyDescent="0.25">
      <c r="A46" s="4">
        <v>27</v>
      </c>
      <c r="B46" s="26" t="s">
        <v>208</v>
      </c>
      <c r="C46" s="24"/>
      <c r="D46" s="46">
        <v>4.3671630000000003E-2</v>
      </c>
      <c r="E46" s="80"/>
    </row>
    <row r="47" spans="1:8" x14ac:dyDescent="0.25">
      <c r="A47" s="4">
        <v>28</v>
      </c>
      <c r="B47" s="26" t="s">
        <v>209</v>
      </c>
      <c r="C47" s="24"/>
      <c r="D47" s="46">
        <f>(D45*(1-D46))+D46</f>
        <v>0.24450058769999999</v>
      </c>
      <c r="E47" s="80"/>
    </row>
    <row r="48" spans="1:8" x14ac:dyDescent="0.25">
      <c r="A48" s="4">
        <v>29</v>
      </c>
      <c r="B48" s="26" t="s">
        <v>212</v>
      </c>
      <c r="C48" s="24"/>
      <c r="D48" s="46">
        <v>2.8358988257475514E-3</v>
      </c>
      <c r="E48" s="80"/>
    </row>
    <row r="49" spans="1:5" x14ac:dyDescent="0.25">
      <c r="A49" s="4">
        <v>30</v>
      </c>
      <c r="B49" s="25" t="s">
        <v>210</v>
      </c>
      <c r="C49" s="1"/>
      <c r="D49" s="216">
        <v>7.5129999999999999</v>
      </c>
      <c r="E49" s="80"/>
    </row>
    <row r="50" spans="1:5" x14ac:dyDescent="0.25">
      <c r="A50" s="4">
        <v>31</v>
      </c>
      <c r="B50" s="47" t="s">
        <v>211</v>
      </c>
      <c r="C50" s="15"/>
      <c r="D50" s="48">
        <f>D49/365</f>
        <v>2.0583561643835617E-2</v>
      </c>
      <c r="E50" s="80"/>
    </row>
    <row r="51" spans="1:5" x14ac:dyDescent="0.25">
      <c r="A51" s="1"/>
      <c r="B51" s="1"/>
      <c r="C51" s="1"/>
      <c r="D51" s="1"/>
      <c r="E51" s="1"/>
    </row>
    <row r="52" spans="1:5" x14ac:dyDescent="0.25">
      <c r="A52" s="15" t="s">
        <v>35</v>
      </c>
      <c r="B52" s="15"/>
      <c r="C52" s="15"/>
      <c r="D52" s="15"/>
      <c r="E52" s="1"/>
    </row>
    <row r="53" spans="1:5" x14ac:dyDescent="0.25">
      <c r="A53" t="s">
        <v>288</v>
      </c>
      <c r="C53" s="1"/>
      <c r="D53" s="1"/>
    </row>
    <row r="54" spans="1:5" x14ac:dyDescent="0.25">
      <c r="A54" s="1" t="s">
        <v>269</v>
      </c>
      <c r="B54" s="1"/>
      <c r="C54" s="1"/>
      <c r="D54" s="1"/>
      <c r="E54" s="1"/>
    </row>
    <row r="55" spans="1:5" x14ac:dyDescent="0.25">
      <c r="A55" s="1" t="s">
        <v>242</v>
      </c>
      <c r="B55" s="1"/>
      <c r="C55" s="1"/>
      <c r="D55" s="1"/>
      <c r="E55" s="1"/>
    </row>
    <row r="56" spans="1:5" x14ac:dyDescent="0.25">
      <c r="A56" s="1" t="s">
        <v>218</v>
      </c>
      <c r="B56" s="1"/>
      <c r="C56" s="1"/>
      <c r="D56" s="1"/>
      <c r="E56" s="1"/>
    </row>
    <row r="57" spans="1:5" x14ac:dyDescent="0.25">
      <c r="A57" s="1" t="s">
        <v>220</v>
      </c>
      <c r="B57" s="1"/>
      <c r="C57" s="1"/>
      <c r="D57" s="1"/>
      <c r="E57" s="1"/>
    </row>
    <row r="58" spans="1:5" x14ac:dyDescent="0.25">
      <c r="A58" s="1" t="s">
        <v>222</v>
      </c>
      <c r="B58" s="1"/>
      <c r="C58" s="1"/>
      <c r="D58" s="1"/>
      <c r="E58" s="1"/>
    </row>
    <row r="59" spans="1:5" x14ac:dyDescent="0.25">
      <c r="A59" s="1" t="s">
        <v>224</v>
      </c>
      <c r="B59" s="1"/>
      <c r="C59" s="1"/>
      <c r="D59" s="1"/>
      <c r="E59" s="1"/>
    </row>
    <row r="60" spans="1:5" x14ac:dyDescent="0.25">
      <c r="A60" s="1" t="s">
        <v>225</v>
      </c>
      <c r="B60" s="1"/>
      <c r="C60" s="1"/>
      <c r="D60" s="1"/>
      <c r="E60" s="1"/>
    </row>
    <row r="61" spans="1:5" x14ac:dyDescent="0.25">
      <c r="A61" s="1" t="s">
        <v>240</v>
      </c>
      <c r="B61" s="1"/>
      <c r="C61" s="1"/>
      <c r="D61" s="1"/>
      <c r="E61" s="1"/>
    </row>
    <row r="62" spans="1:5" x14ac:dyDescent="0.25">
      <c r="A62" s="1" t="s">
        <v>243</v>
      </c>
      <c r="B62" s="1"/>
      <c r="C62" s="1"/>
      <c r="D62" s="1"/>
      <c r="E62" s="1"/>
    </row>
    <row r="63" spans="1:5" x14ac:dyDescent="0.25">
      <c r="A63" s="1" t="s">
        <v>244</v>
      </c>
      <c r="B63" s="1"/>
      <c r="C63" s="1"/>
      <c r="D63" s="1"/>
      <c r="E63" s="1"/>
    </row>
    <row r="64" spans="1:5" x14ac:dyDescent="0.25">
      <c r="A64" s="1" t="s">
        <v>241</v>
      </c>
      <c r="B64" s="1"/>
      <c r="C64" s="1"/>
      <c r="D64" s="1"/>
      <c r="E64" s="1"/>
    </row>
    <row r="65" spans="1:5" x14ac:dyDescent="0.25">
      <c r="A65" s="1" t="s">
        <v>233</v>
      </c>
      <c r="B65" s="1"/>
      <c r="C65" s="1"/>
      <c r="D65" s="1"/>
      <c r="E65" s="1"/>
    </row>
    <row r="66" spans="1:5" x14ac:dyDescent="0.25">
      <c r="A66" t="s">
        <v>235</v>
      </c>
      <c r="B66" s="1"/>
      <c r="C66" s="1"/>
      <c r="D66" s="1"/>
      <c r="E66" s="1"/>
    </row>
    <row r="67" spans="1:5" x14ac:dyDescent="0.25">
      <c r="A67" s="1" t="s">
        <v>237</v>
      </c>
      <c r="B67" s="1"/>
      <c r="C67" s="1"/>
      <c r="D67" s="1"/>
      <c r="E67" s="1"/>
    </row>
    <row r="68" spans="1:5" x14ac:dyDescent="0.25">
      <c r="A68" t="s">
        <v>239</v>
      </c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</sheetData>
  <mergeCells count="9">
    <mergeCell ref="B32:E32"/>
    <mergeCell ref="B38:E38"/>
    <mergeCell ref="A1:E1"/>
    <mergeCell ref="B14:C14"/>
    <mergeCell ref="B45:C45"/>
    <mergeCell ref="D6:E6"/>
    <mergeCell ref="B44:D44"/>
    <mergeCell ref="B8:C8"/>
    <mergeCell ref="A2:E2"/>
  </mergeCells>
  <printOptions horizontalCentered="1"/>
  <pageMargins left="0.7" right="0.7" top="1.35" bottom="0.75" header="0.7" footer="0.3"/>
  <pageSetup scale="71" orientation="portrait" r:id="rId1"/>
  <headerFooter scaleWithDoc="0">
    <oddHeader>&amp;R&amp;"Times New Roman,Bold"&amp;8Docket No. 25-057-06
UAE Exhibit RR 1.5
Page 2 of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D649F-B754-4FF2-897B-39FC53E217CE}">
  <sheetPr>
    <pageSetUpPr fitToPage="1"/>
  </sheetPr>
  <dimension ref="A1:H33"/>
  <sheetViews>
    <sheetView zoomScaleNormal="100" workbookViewId="0">
      <selection activeCell="D28" sqref="D28"/>
    </sheetView>
  </sheetViews>
  <sheetFormatPr defaultRowHeight="15" x14ac:dyDescent="0.25"/>
  <cols>
    <col min="1" max="1" width="6.7109375" style="109" customWidth="1"/>
    <col min="2" max="2" width="29.42578125" style="109" customWidth="1"/>
    <col min="3" max="3" width="52.42578125" style="109" customWidth="1"/>
    <col min="4" max="6" width="18" style="109" customWidth="1"/>
  </cols>
  <sheetData>
    <row r="1" spans="1:6" ht="18.75" x14ac:dyDescent="0.25">
      <c r="A1" s="263" t="s">
        <v>291</v>
      </c>
      <c r="B1" s="263"/>
      <c r="C1" s="263"/>
      <c r="D1" s="263"/>
      <c r="E1" s="263"/>
      <c r="F1" s="263"/>
    </row>
    <row r="2" spans="1:6" x14ac:dyDescent="0.25">
      <c r="A2" s="23"/>
      <c r="B2" s="23"/>
      <c r="C2" s="110"/>
      <c r="D2" s="110"/>
      <c r="E2" s="110"/>
      <c r="F2" s="110"/>
    </row>
    <row r="3" spans="1:6" x14ac:dyDescent="0.25">
      <c r="A3" s="23"/>
      <c r="B3" s="23"/>
      <c r="C3" s="110"/>
      <c r="D3" s="110"/>
      <c r="E3" s="110"/>
      <c r="F3" s="110"/>
    </row>
    <row r="4" spans="1:6" x14ac:dyDescent="0.25">
      <c r="A4" s="111" t="s">
        <v>40</v>
      </c>
      <c r="B4" s="111" t="s">
        <v>159</v>
      </c>
      <c r="C4" s="111" t="s">
        <v>74</v>
      </c>
      <c r="D4" s="111" t="s">
        <v>76</v>
      </c>
      <c r="E4" s="111" t="s">
        <v>75</v>
      </c>
      <c r="F4" s="111" t="s">
        <v>77</v>
      </c>
    </row>
    <row r="5" spans="1:6" x14ac:dyDescent="0.25">
      <c r="A5" s="114" t="s">
        <v>43</v>
      </c>
      <c r="B5" s="114" t="s">
        <v>44</v>
      </c>
      <c r="C5" s="113" t="s">
        <v>45</v>
      </c>
      <c r="D5" s="112" t="s">
        <v>93</v>
      </c>
      <c r="E5" s="112" t="s">
        <v>92</v>
      </c>
      <c r="F5" s="112" t="s">
        <v>94</v>
      </c>
    </row>
    <row r="6" spans="1:6" ht="18" x14ac:dyDescent="0.25">
      <c r="A6" s="111">
        <v>1</v>
      </c>
      <c r="B6" s="111">
        <v>560</v>
      </c>
      <c r="C6" s="110" t="s">
        <v>90</v>
      </c>
      <c r="D6" s="115">
        <v>-1077345</v>
      </c>
      <c r="E6" s="115"/>
      <c r="F6" s="115"/>
    </row>
    <row r="7" spans="1:6" ht="11.25" customHeight="1" x14ac:dyDescent="0.25">
      <c r="A7" s="111"/>
      <c r="B7" s="111"/>
      <c r="C7" s="110"/>
      <c r="D7" s="115"/>
      <c r="E7" s="115"/>
      <c r="F7" s="115"/>
    </row>
    <row r="8" spans="1:6" ht="18" x14ac:dyDescent="0.25">
      <c r="A8" s="111">
        <v>2</v>
      </c>
      <c r="B8" s="111" t="s">
        <v>80</v>
      </c>
      <c r="C8" s="110" t="s">
        <v>95</v>
      </c>
      <c r="D8" s="119"/>
      <c r="E8" s="122">
        <v>9.3817936264895152E-2</v>
      </c>
      <c r="F8" s="122">
        <v>3.7219162874891444E-2</v>
      </c>
    </row>
    <row r="9" spans="1:6" ht="11.25" customHeight="1" x14ac:dyDescent="0.25">
      <c r="A9" s="111"/>
      <c r="B9" s="111"/>
      <c r="C9" s="110"/>
      <c r="D9" s="115"/>
      <c r="E9" s="122"/>
      <c r="F9" s="122"/>
    </row>
    <row r="10" spans="1:6" ht="18" x14ac:dyDescent="0.25">
      <c r="A10" s="111">
        <v>3</v>
      </c>
      <c r="B10" s="111" t="s">
        <v>80</v>
      </c>
      <c r="C10" s="110" t="s">
        <v>109</v>
      </c>
      <c r="D10" s="119"/>
      <c r="E10" s="122">
        <v>0.10727480635508135</v>
      </c>
      <c r="F10" s="122">
        <v>3.7219162874891444E-2</v>
      </c>
    </row>
    <row r="11" spans="1:6" ht="11.25" customHeight="1" x14ac:dyDescent="0.25">
      <c r="A11" s="111"/>
      <c r="B11" s="110"/>
      <c r="C11" s="110"/>
      <c r="D11" s="115"/>
      <c r="E11" s="122"/>
      <c r="F11" s="122"/>
    </row>
    <row r="12" spans="1:6" ht="18" x14ac:dyDescent="0.25">
      <c r="A12" s="114">
        <v>4</v>
      </c>
      <c r="B12" s="114" t="s">
        <v>80</v>
      </c>
      <c r="C12" s="113" t="s">
        <v>98</v>
      </c>
      <c r="D12" s="118"/>
      <c r="E12" s="123">
        <f>E10-E8</f>
        <v>1.3456870090186202E-2</v>
      </c>
      <c r="F12" s="123">
        <f>F10-F8</f>
        <v>0</v>
      </c>
    </row>
    <row r="13" spans="1:6" ht="11.25" customHeight="1" x14ac:dyDescent="0.25">
      <c r="A13" s="111"/>
      <c r="B13" s="110"/>
      <c r="C13" s="110"/>
      <c r="D13" s="115"/>
      <c r="E13" s="115"/>
      <c r="F13" s="115"/>
    </row>
    <row r="14" spans="1:6" ht="18" x14ac:dyDescent="0.25">
      <c r="A14" s="111">
        <v>5</v>
      </c>
      <c r="B14" s="111">
        <v>408</v>
      </c>
      <c r="C14" s="110" t="s">
        <v>100</v>
      </c>
      <c r="D14" s="120">
        <v>4863792</v>
      </c>
      <c r="E14" s="121">
        <v>4923812.2798773125</v>
      </c>
      <c r="F14" s="120">
        <v>5221300.148595525</v>
      </c>
    </row>
    <row r="15" spans="1:6" ht="11.25" customHeight="1" x14ac:dyDescent="0.25">
      <c r="A15" s="111"/>
      <c r="B15" s="110"/>
      <c r="C15" s="110"/>
      <c r="D15" s="115"/>
      <c r="E15" s="115"/>
      <c r="F15" s="115"/>
    </row>
    <row r="16" spans="1:6" ht="18" x14ac:dyDescent="0.25">
      <c r="A16" s="111">
        <v>6</v>
      </c>
      <c r="B16" s="111">
        <v>408</v>
      </c>
      <c r="C16" s="110" t="s">
        <v>101</v>
      </c>
      <c r="D16" s="115">
        <f>D14</f>
        <v>4863792</v>
      </c>
      <c r="E16" s="115">
        <f>D16*(1+E10)</f>
        <v>5385554.3449513931</v>
      </c>
      <c r="F16" s="115">
        <f>E16*(1+F10)</f>
        <v>5586000.1692877188</v>
      </c>
    </row>
    <row r="17" spans="1:8" ht="11.25" customHeight="1" x14ac:dyDescent="0.25">
      <c r="A17" s="110"/>
      <c r="B17" s="111"/>
      <c r="C17" s="110"/>
      <c r="D17" s="115"/>
      <c r="E17" s="115"/>
      <c r="F17" s="115"/>
    </row>
    <row r="18" spans="1:8" ht="18" x14ac:dyDescent="0.25">
      <c r="A18" s="114">
        <v>7</v>
      </c>
      <c r="B18" s="114">
        <v>408</v>
      </c>
      <c r="C18" s="113" t="s">
        <v>103</v>
      </c>
      <c r="D18" s="118">
        <f>D16-D14</f>
        <v>0</v>
      </c>
      <c r="E18" s="118">
        <f t="shared" ref="E18:F18" si="0">E16-E14</f>
        <v>461742.0650740806</v>
      </c>
      <c r="F18" s="118">
        <f t="shared" si="0"/>
        <v>364700.02069219388</v>
      </c>
      <c r="H18" s="117"/>
    </row>
    <row r="19" spans="1:8" ht="11.25" customHeight="1" x14ac:dyDescent="0.25">
      <c r="A19" s="110"/>
      <c r="B19" s="111"/>
      <c r="C19" s="110"/>
      <c r="D19" s="115"/>
      <c r="E19" s="115"/>
      <c r="F19" s="115"/>
      <c r="H19" s="117"/>
    </row>
    <row r="20" spans="1:8" x14ac:dyDescent="0.25">
      <c r="A20" s="15" t="s">
        <v>35</v>
      </c>
      <c r="B20" s="114"/>
      <c r="C20" s="110"/>
      <c r="D20" s="110"/>
      <c r="E20" s="110"/>
      <c r="F20" s="115"/>
    </row>
    <row r="21" spans="1:8" x14ac:dyDescent="0.25">
      <c r="A21" s="110" t="s">
        <v>106</v>
      </c>
      <c r="B21" s="110"/>
      <c r="C21" s="110"/>
      <c r="D21" s="110"/>
      <c r="E21" s="110"/>
      <c r="F21" s="116"/>
    </row>
    <row r="22" spans="1:8" x14ac:dyDescent="0.25">
      <c r="A22" s="110" t="s">
        <v>107</v>
      </c>
      <c r="B22" s="110"/>
      <c r="C22" s="110"/>
      <c r="D22" s="110"/>
      <c r="E22" s="110"/>
      <c r="F22" s="110"/>
    </row>
    <row r="23" spans="1:8" x14ac:dyDescent="0.25">
      <c r="A23" s="110" t="s">
        <v>91</v>
      </c>
      <c r="B23" s="110"/>
      <c r="C23" s="110"/>
      <c r="D23" s="110"/>
      <c r="E23" s="110"/>
      <c r="F23" s="116"/>
    </row>
    <row r="24" spans="1:8" x14ac:dyDescent="0.25">
      <c r="A24" s="110" t="s">
        <v>273</v>
      </c>
      <c r="B24" s="110"/>
      <c r="C24" s="110"/>
      <c r="D24" s="110"/>
      <c r="E24" s="110"/>
      <c r="F24" s="110"/>
    </row>
    <row r="25" spans="1:8" x14ac:dyDescent="0.25">
      <c r="A25" s="110" t="s">
        <v>108</v>
      </c>
      <c r="B25" s="110"/>
      <c r="C25" s="110"/>
      <c r="D25" s="110"/>
      <c r="E25" s="110"/>
      <c r="F25" s="110"/>
    </row>
    <row r="26" spans="1:8" x14ac:dyDescent="0.25">
      <c r="A26" s="110" t="s">
        <v>97</v>
      </c>
      <c r="B26" s="110"/>
      <c r="C26" s="110"/>
      <c r="D26" s="110"/>
      <c r="E26" s="110"/>
      <c r="F26" s="110"/>
    </row>
    <row r="27" spans="1:8" x14ac:dyDescent="0.25">
      <c r="A27" s="110" t="s">
        <v>96</v>
      </c>
      <c r="B27" s="110"/>
      <c r="C27" s="110"/>
      <c r="D27" s="110"/>
      <c r="E27" s="110"/>
      <c r="F27" s="110"/>
    </row>
    <row r="28" spans="1:8" x14ac:dyDescent="0.25">
      <c r="A28" s="110" t="s">
        <v>99</v>
      </c>
      <c r="B28" s="110"/>
      <c r="C28" s="110"/>
      <c r="D28" s="110"/>
      <c r="E28" s="110"/>
      <c r="F28" s="110"/>
    </row>
    <row r="29" spans="1:8" x14ac:dyDescent="0.25">
      <c r="A29" s="110" t="s">
        <v>102</v>
      </c>
      <c r="B29" s="110"/>
      <c r="C29" s="110"/>
      <c r="D29" s="110"/>
      <c r="E29" s="110"/>
      <c r="F29" s="110"/>
    </row>
    <row r="30" spans="1:8" x14ac:dyDescent="0.25">
      <c r="A30" s="110" t="s">
        <v>110</v>
      </c>
      <c r="B30" s="110"/>
      <c r="C30" s="110"/>
      <c r="D30" s="110"/>
      <c r="E30" s="110"/>
      <c r="F30" s="110"/>
    </row>
    <row r="31" spans="1:8" x14ac:dyDescent="0.25">
      <c r="A31" s="110" t="s">
        <v>105</v>
      </c>
      <c r="B31" s="110"/>
      <c r="C31" s="110"/>
      <c r="D31" s="110"/>
      <c r="E31" s="110"/>
      <c r="F31" s="110"/>
    </row>
    <row r="32" spans="1:8" x14ac:dyDescent="0.25">
      <c r="A32" s="110" t="s">
        <v>104</v>
      </c>
      <c r="B32" s="110"/>
      <c r="C32" s="110"/>
      <c r="D32" s="110"/>
      <c r="E32" s="110"/>
      <c r="F32" s="110"/>
    </row>
    <row r="33" spans="1:6" x14ac:dyDescent="0.25">
      <c r="A33" s="110"/>
      <c r="B33" s="110"/>
      <c r="C33" s="110"/>
      <c r="D33" s="110"/>
      <c r="E33" s="110"/>
      <c r="F33" s="110"/>
    </row>
  </sheetData>
  <mergeCells count="1">
    <mergeCell ref="A1:F1"/>
  </mergeCells>
  <printOptions horizontalCentered="1"/>
  <pageMargins left="0.7" right="0.7" top="1.35" bottom="0.75" header="0.7" footer="0.3"/>
  <pageSetup scale="87" orientation="landscape" r:id="rId1"/>
  <headerFooter scaleWithDoc="0">
    <oddHeader>&amp;R&amp;"Times New Roman,Bold"&amp;8Docket No. 25-057-06
UAE Exhibit RR 1.1
Page 2 of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E5FE-DCA0-4553-A664-CEA5217E8239}">
  <sheetPr>
    <pageSetUpPr fitToPage="1"/>
  </sheetPr>
  <dimension ref="A1:C25"/>
  <sheetViews>
    <sheetView zoomScaleNormal="100" workbookViewId="0">
      <selection activeCell="I22" sqref="I22"/>
    </sheetView>
  </sheetViews>
  <sheetFormatPr defaultRowHeight="15" x14ac:dyDescent="0.25"/>
  <cols>
    <col min="1" max="1" width="6.7109375" style="109" customWidth="1"/>
    <col min="2" max="2" width="37.42578125" style="109" customWidth="1"/>
    <col min="3" max="3" width="33.42578125" style="109" customWidth="1"/>
  </cols>
  <sheetData>
    <row r="1" spans="1:3" ht="15.75" x14ac:dyDescent="0.25">
      <c r="A1" s="263" t="s">
        <v>290</v>
      </c>
      <c r="B1" s="263"/>
      <c r="C1" s="263"/>
    </row>
    <row r="2" spans="1:3" ht="15.75" x14ac:dyDescent="0.25">
      <c r="A2" s="263" t="s">
        <v>251</v>
      </c>
      <c r="B2" s="263"/>
      <c r="C2" s="263"/>
    </row>
    <row r="3" spans="1:3" x14ac:dyDescent="0.25">
      <c r="A3" s="111" t="s">
        <v>40</v>
      </c>
      <c r="B3" s="23"/>
      <c r="C3" s="110"/>
    </row>
    <row r="4" spans="1:3" x14ac:dyDescent="0.25">
      <c r="A4" s="114" t="s">
        <v>252</v>
      </c>
      <c r="B4" s="111" t="s">
        <v>159</v>
      </c>
      <c r="C4" s="111" t="s">
        <v>74</v>
      </c>
    </row>
    <row r="5" spans="1:3" x14ac:dyDescent="0.25">
      <c r="A5" s="238">
        <v>1</v>
      </c>
      <c r="B5" s="235"/>
      <c r="C5" s="239" t="s">
        <v>253</v>
      </c>
    </row>
    <row r="6" spans="1:3" ht="18" x14ac:dyDescent="0.25">
      <c r="A6" s="111">
        <v>2</v>
      </c>
      <c r="B6" s="207" t="s">
        <v>254</v>
      </c>
      <c r="C6" s="240">
        <v>88647432</v>
      </c>
    </row>
    <row r="7" spans="1:3" ht="18" x14ac:dyDescent="0.25">
      <c r="A7" s="111">
        <v>3</v>
      </c>
      <c r="B7" s="207" t="s">
        <v>255</v>
      </c>
      <c r="C7" s="241">
        <v>-1077345</v>
      </c>
    </row>
    <row r="8" spans="1:3" ht="18" x14ac:dyDescent="0.25">
      <c r="A8" s="111">
        <v>4</v>
      </c>
      <c r="B8" s="207" t="s">
        <v>256</v>
      </c>
      <c r="C8" s="240">
        <f>C6+C7</f>
        <v>87570087</v>
      </c>
    </row>
    <row r="9" spans="1:3" x14ac:dyDescent="0.25">
      <c r="A9" s="111"/>
      <c r="B9" s="207"/>
      <c r="C9" s="240"/>
    </row>
    <row r="10" spans="1:3" ht="18" x14ac:dyDescent="0.25">
      <c r="A10" s="111">
        <v>5</v>
      </c>
      <c r="B10" s="207" t="s">
        <v>260</v>
      </c>
      <c r="C10" s="240">
        <v>96964151</v>
      </c>
    </row>
    <row r="11" spans="1:3" ht="17.25" customHeight="1" x14ac:dyDescent="0.25">
      <c r="A11" s="111">
        <v>6</v>
      </c>
      <c r="B11" s="234" t="s">
        <v>263</v>
      </c>
      <c r="C11" s="246">
        <f>(C10-C8)/C8</f>
        <v>0.10727480492282714</v>
      </c>
    </row>
    <row r="12" spans="1:3" ht="15.75" customHeight="1" x14ac:dyDescent="0.25">
      <c r="A12" s="111"/>
      <c r="B12" s="236"/>
      <c r="C12" s="240"/>
    </row>
    <row r="13" spans="1:3" ht="15.75" customHeight="1" x14ac:dyDescent="0.25">
      <c r="A13" s="111">
        <v>7</v>
      </c>
      <c r="B13" s="207" t="s">
        <v>265</v>
      </c>
      <c r="C13" s="240">
        <f>C8</f>
        <v>87570087</v>
      </c>
    </row>
    <row r="14" spans="1:3" ht="16.5" customHeight="1" x14ac:dyDescent="0.25">
      <c r="A14" s="111">
        <v>8</v>
      </c>
      <c r="B14" s="207" t="s">
        <v>257</v>
      </c>
      <c r="C14" s="241">
        <v>-3061147</v>
      </c>
    </row>
    <row r="15" spans="1:3" ht="18.75" customHeight="1" x14ac:dyDescent="0.25">
      <c r="A15" s="111">
        <v>9</v>
      </c>
      <c r="B15" s="237" t="s">
        <v>267</v>
      </c>
      <c r="C15" s="241">
        <f>C8+C14</f>
        <v>84508940</v>
      </c>
    </row>
    <row r="16" spans="1:3" ht="15.75" customHeight="1" x14ac:dyDescent="0.25">
      <c r="A16" s="111"/>
      <c r="B16" s="233"/>
      <c r="C16" s="115"/>
    </row>
    <row r="17" spans="1:3" ht="15.75" customHeight="1" x14ac:dyDescent="0.25">
      <c r="A17" s="111"/>
      <c r="B17" s="111"/>
      <c r="C17" s="110"/>
    </row>
    <row r="18" spans="1:3" x14ac:dyDescent="0.25">
      <c r="A18" s="15" t="s">
        <v>35</v>
      </c>
      <c r="B18" s="114"/>
      <c r="C18" s="110"/>
    </row>
    <row r="19" spans="1:3" x14ac:dyDescent="0.25">
      <c r="A19" s="110" t="s">
        <v>258</v>
      </c>
      <c r="B19" s="110"/>
      <c r="C19" s="110"/>
    </row>
    <row r="20" spans="1:3" x14ac:dyDescent="0.25">
      <c r="A20" s="110" t="s">
        <v>259</v>
      </c>
      <c r="B20" s="110"/>
      <c r="C20" s="110"/>
    </row>
    <row r="21" spans="1:3" x14ac:dyDescent="0.25">
      <c r="A21" s="110" t="s">
        <v>261</v>
      </c>
      <c r="B21" s="110"/>
      <c r="C21" s="110"/>
    </row>
    <row r="22" spans="1:3" x14ac:dyDescent="0.25">
      <c r="A22" s="110" t="s">
        <v>262</v>
      </c>
      <c r="B22" s="110"/>
      <c r="C22" s="110"/>
    </row>
    <row r="23" spans="1:3" x14ac:dyDescent="0.25">
      <c r="A23" s="110" t="s">
        <v>264</v>
      </c>
      <c r="B23" s="110"/>
      <c r="C23" s="110"/>
    </row>
    <row r="24" spans="1:3" x14ac:dyDescent="0.25">
      <c r="A24" s="110" t="s">
        <v>266</v>
      </c>
      <c r="B24" s="110"/>
      <c r="C24" s="110"/>
    </row>
    <row r="25" spans="1:3" x14ac:dyDescent="0.25">
      <c r="A25" s="110" t="s">
        <v>274</v>
      </c>
      <c r="B25" s="110"/>
      <c r="C25" s="110"/>
    </row>
  </sheetData>
  <mergeCells count="2">
    <mergeCell ref="A1:C1"/>
    <mergeCell ref="A2:C2"/>
  </mergeCells>
  <printOptions horizontalCentered="1"/>
  <pageMargins left="0.7" right="0.7" top="1.35" bottom="0.75" header="0.7" footer="0.3"/>
  <pageSetup orientation="portrait" r:id="rId1"/>
  <headerFooter scaleWithDoc="0">
    <oddHeader>&amp;R&amp;"Times New Roman,Bold"&amp;8Docket No. 25-057-06
UAE Exhibit RR 1.1
Page 3 of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37FED-D1F8-4ADA-BEBF-EB3EAAE6BA51}">
  <sheetPr>
    <pageSetUpPr fitToPage="1"/>
  </sheetPr>
  <dimension ref="A1:F62"/>
  <sheetViews>
    <sheetView zoomScaleNormal="100" workbookViewId="0">
      <selection activeCell="D59" sqref="D59"/>
    </sheetView>
  </sheetViews>
  <sheetFormatPr defaultRowHeight="15" x14ac:dyDescent="0.25"/>
  <cols>
    <col min="1" max="1" width="6" customWidth="1"/>
    <col min="2" max="2" width="47.7109375" customWidth="1"/>
    <col min="3" max="4" width="21.140625" customWidth="1"/>
    <col min="5" max="5" width="23.5703125" customWidth="1"/>
    <col min="6" max="6" width="13.28515625" bestFit="1" customWidth="1"/>
  </cols>
  <sheetData>
    <row r="1" spans="1:5" ht="18.75" x14ac:dyDescent="0.3">
      <c r="A1" s="262" t="s">
        <v>79</v>
      </c>
      <c r="B1" s="262"/>
      <c r="C1" s="262"/>
      <c r="D1" s="262"/>
    </row>
    <row r="2" spans="1:5" x14ac:dyDescent="0.25">
      <c r="A2" s="1"/>
      <c r="B2" s="1"/>
      <c r="C2" s="1"/>
      <c r="D2" s="1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2" t="s">
        <v>36</v>
      </c>
      <c r="D4" s="2" t="s">
        <v>0</v>
      </c>
    </row>
    <row r="5" spans="1:5" ht="9" customHeight="1" x14ac:dyDescent="0.25">
      <c r="A5" s="1"/>
      <c r="B5" s="1"/>
      <c r="C5" s="2"/>
      <c r="D5" s="2"/>
    </row>
    <row r="6" spans="1:5" ht="47.25" customHeight="1" x14ac:dyDescent="0.25">
      <c r="A6" s="3" t="s">
        <v>1</v>
      </c>
      <c r="B6" s="1"/>
      <c r="C6" s="2" t="s">
        <v>86</v>
      </c>
      <c r="D6" s="2" t="s">
        <v>86</v>
      </c>
    </row>
    <row r="7" spans="1:5" x14ac:dyDescent="0.25">
      <c r="A7" s="4"/>
      <c r="B7" s="1"/>
      <c r="C7" s="4" t="s">
        <v>2</v>
      </c>
      <c r="D7" s="4" t="s">
        <v>3</v>
      </c>
      <c r="E7" s="5"/>
    </row>
    <row r="8" spans="1:5" x14ac:dyDescent="0.25">
      <c r="A8" s="4">
        <v>1</v>
      </c>
      <c r="B8" s="1" t="s">
        <v>4</v>
      </c>
      <c r="C8" s="6"/>
      <c r="D8" s="6"/>
      <c r="E8" s="5"/>
    </row>
    <row r="9" spans="1:5" x14ac:dyDescent="0.25">
      <c r="A9" s="4">
        <v>2</v>
      </c>
      <c r="B9" s="7" t="s">
        <v>5</v>
      </c>
      <c r="C9" s="8">
        <v>0</v>
      </c>
      <c r="D9" s="8">
        <v>0</v>
      </c>
    </row>
    <row r="10" spans="1:5" x14ac:dyDescent="0.25">
      <c r="A10" s="4">
        <v>3</v>
      </c>
      <c r="B10" s="7" t="s">
        <v>6</v>
      </c>
      <c r="C10" s="8">
        <v>0</v>
      </c>
      <c r="D10" s="8">
        <v>0</v>
      </c>
    </row>
    <row r="11" spans="1:5" x14ac:dyDescent="0.25">
      <c r="A11" s="4">
        <v>4</v>
      </c>
      <c r="B11" s="7" t="s">
        <v>7</v>
      </c>
      <c r="C11" s="8">
        <v>0</v>
      </c>
      <c r="D11" s="8">
        <v>0</v>
      </c>
    </row>
    <row r="12" spans="1:5" x14ac:dyDescent="0.25">
      <c r="A12" s="4">
        <v>5</v>
      </c>
      <c r="B12" s="7" t="s">
        <v>8</v>
      </c>
      <c r="C12" s="8">
        <v>0</v>
      </c>
      <c r="D12" s="8">
        <v>0</v>
      </c>
    </row>
    <row r="13" spans="1:5" x14ac:dyDescent="0.25">
      <c r="A13" s="4">
        <v>6</v>
      </c>
      <c r="B13" s="7" t="s">
        <v>9</v>
      </c>
      <c r="C13" s="9">
        <v>0</v>
      </c>
      <c r="D13" s="9">
        <v>0</v>
      </c>
    </row>
    <row r="14" spans="1:5" x14ac:dyDescent="0.25">
      <c r="A14" s="4">
        <v>7</v>
      </c>
      <c r="B14" s="1" t="s">
        <v>10</v>
      </c>
      <c r="C14" s="8">
        <f>SUM(C9:C13)</f>
        <v>0</v>
      </c>
      <c r="D14" s="8">
        <f>SUM(D9:D13)</f>
        <v>0</v>
      </c>
    </row>
    <row r="15" spans="1:5" ht="9" customHeight="1" x14ac:dyDescent="0.25">
      <c r="A15" s="4"/>
      <c r="B15" s="1"/>
      <c r="C15" s="8"/>
      <c r="D15" s="8"/>
    </row>
    <row r="16" spans="1:5" x14ac:dyDescent="0.25">
      <c r="A16" s="4">
        <v>8</v>
      </c>
      <c r="B16" s="1" t="s">
        <v>11</v>
      </c>
      <c r="C16" s="8"/>
      <c r="D16" s="8"/>
    </row>
    <row r="17" spans="1:4" x14ac:dyDescent="0.25">
      <c r="A17" s="4">
        <v>9</v>
      </c>
      <c r="B17" s="7" t="s">
        <v>12</v>
      </c>
      <c r="C17" s="8"/>
      <c r="D17" s="8"/>
    </row>
    <row r="18" spans="1:4" x14ac:dyDescent="0.25">
      <c r="A18" s="4">
        <v>10</v>
      </c>
      <c r="B18" s="7" t="s">
        <v>13</v>
      </c>
      <c r="C18" s="8">
        <v>0</v>
      </c>
      <c r="D18" s="8">
        <v>0</v>
      </c>
    </row>
    <row r="19" spans="1:4" x14ac:dyDescent="0.25">
      <c r="A19" s="4">
        <v>11</v>
      </c>
      <c r="B19" s="7" t="s">
        <v>14</v>
      </c>
      <c r="C19" s="9">
        <v>0</v>
      </c>
      <c r="D19" s="9">
        <v>0</v>
      </c>
    </row>
    <row r="20" spans="1:4" x14ac:dyDescent="0.25">
      <c r="A20" s="4">
        <v>12</v>
      </c>
      <c r="B20" s="1" t="s">
        <v>15</v>
      </c>
      <c r="C20" s="8">
        <f>SUM(C18:C19)</f>
        <v>0</v>
      </c>
      <c r="D20" s="8">
        <f>SUM(D18:D19)</f>
        <v>0</v>
      </c>
    </row>
    <row r="21" spans="1:4" ht="9" customHeight="1" x14ac:dyDescent="0.25">
      <c r="A21" s="4"/>
      <c r="B21" s="1"/>
      <c r="C21" s="8"/>
      <c r="D21" s="8"/>
    </row>
    <row r="22" spans="1:4" x14ac:dyDescent="0.25">
      <c r="A22" s="4">
        <v>13</v>
      </c>
      <c r="B22" s="1" t="s">
        <v>16</v>
      </c>
      <c r="C22" s="34"/>
      <c r="D22" s="34"/>
    </row>
    <row r="23" spans="1:4" x14ac:dyDescent="0.25">
      <c r="A23" s="4">
        <v>14</v>
      </c>
      <c r="B23" s="7" t="s">
        <v>17</v>
      </c>
      <c r="C23" s="34">
        <v>0</v>
      </c>
      <c r="D23" s="34">
        <v>0</v>
      </c>
    </row>
    <row r="24" spans="1:4" x14ac:dyDescent="0.25">
      <c r="A24" s="4">
        <v>15</v>
      </c>
      <c r="B24" s="7" t="s">
        <v>82</v>
      </c>
      <c r="C24" s="34">
        <v>-48884.659128540196</v>
      </c>
      <c r="D24" s="34">
        <v>-48884.659128540196</v>
      </c>
    </row>
    <row r="25" spans="1:4" x14ac:dyDescent="0.25">
      <c r="A25" s="4">
        <v>16</v>
      </c>
      <c r="B25" s="7" t="s">
        <v>18</v>
      </c>
      <c r="C25" s="34">
        <v>-1163163.3632313311</v>
      </c>
      <c r="D25" s="34">
        <v>-1093962.3723373413</v>
      </c>
    </row>
    <row r="26" spans="1:4" x14ac:dyDescent="0.25">
      <c r="A26" s="4">
        <v>17</v>
      </c>
      <c r="B26" s="7" t="s">
        <v>19</v>
      </c>
      <c r="C26" s="34">
        <v>-441230.65040918812</v>
      </c>
      <c r="D26" s="34">
        <v>-428928.23931344226</v>
      </c>
    </row>
    <row r="27" spans="1:4" x14ac:dyDescent="0.25">
      <c r="A27" s="4">
        <v>18</v>
      </c>
      <c r="B27" s="7" t="s">
        <v>20</v>
      </c>
      <c r="C27" s="34">
        <v>-87128.769611580297</v>
      </c>
      <c r="D27" s="34">
        <v>-86382.623350202572</v>
      </c>
    </row>
    <row r="28" spans="1:4" x14ac:dyDescent="0.25">
      <c r="A28" s="4">
        <v>19</v>
      </c>
      <c r="B28" s="7" t="s">
        <v>21</v>
      </c>
      <c r="C28" s="9">
        <v>-1503113.8371806443</v>
      </c>
      <c r="D28" s="9">
        <v>-1451235.0903322101</v>
      </c>
    </row>
    <row r="29" spans="1:4" x14ac:dyDescent="0.25">
      <c r="A29" s="4">
        <v>20</v>
      </c>
      <c r="B29" s="1" t="s">
        <v>22</v>
      </c>
      <c r="C29" s="8">
        <f>SUM(C23:C28)</f>
        <v>-3243521.279561284</v>
      </c>
      <c r="D29" s="8">
        <f>SUM(D23:D28)</f>
        <v>-3109392.9844617364</v>
      </c>
    </row>
    <row r="30" spans="1:4" ht="9" customHeight="1" x14ac:dyDescent="0.25">
      <c r="A30" s="4"/>
      <c r="B30" s="1"/>
      <c r="C30" s="8"/>
      <c r="D30" s="8"/>
    </row>
    <row r="31" spans="1:4" x14ac:dyDescent="0.25">
      <c r="A31" s="4">
        <v>21</v>
      </c>
      <c r="B31" s="1" t="s">
        <v>23</v>
      </c>
      <c r="C31" s="8"/>
      <c r="D31" s="8"/>
    </row>
    <row r="32" spans="1:4" x14ac:dyDescent="0.25">
      <c r="A32" s="4">
        <v>22</v>
      </c>
      <c r="B32" s="7" t="s">
        <v>24</v>
      </c>
      <c r="C32" s="120">
        <v>0</v>
      </c>
      <c r="D32" s="8">
        <v>0</v>
      </c>
    </row>
    <row r="33" spans="1:6" x14ac:dyDescent="0.25">
      <c r="A33" s="4">
        <v>23</v>
      </c>
      <c r="B33" s="7" t="s">
        <v>25</v>
      </c>
      <c r="C33" s="8">
        <v>-246517.72300501168</v>
      </c>
      <c r="D33" s="8">
        <v>-236323.55467727035</v>
      </c>
      <c r="E33" s="108"/>
    </row>
    <row r="34" spans="1:6" x14ac:dyDescent="0.25">
      <c r="A34" s="4">
        <v>24</v>
      </c>
      <c r="B34" s="7" t="s">
        <v>26</v>
      </c>
      <c r="C34" s="166">
        <v>853581.39348810911</v>
      </c>
      <c r="D34" s="9">
        <v>818283.51591329277</v>
      </c>
    </row>
    <row r="35" spans="1:6" x14ac:dyDescent="0.25">
      <c r="A35" s="4">
        <v>25</v>
      </c>
      <c r="B35" s="1" t="s">
        <v>27</v>
      </c>
      <c r="C35" s="8">
        <f>SUM(C32:C34)</f>
        <v>607063.67048309743</v>
      </c>
      <c r="D35" s="8">
        <f>SUM(D32:D34)</f>
        <v>581959.96123602241</v>
      </c>
    </row>
    <row r="36" spans="1:6" x14ac:dyDescent="0.25">
      <c r="A36" s="4"/>
      <c r="B36" s="1"/>
      <c r="C36" s="8"/>
      <c r="D36" s="8"/>
    </row>
    <row r="37" spans="1:6" ht="9" customHeight="1" x14ac:dyDescent="0.25">
      <c r="A37" s="4"/>
      <c r="B37" s="1"/>
      <c r="C37" s="8"/>
      <c r="D37" s="8"/>
    </row>
    <row r="38" spans="1:6" x14ac:dyDescent="0.25">
      <c r="A38" s="4">
        <v>26</v>
      </c>
      <c r="B38" s="1" t="s">
        <v>28</v>
      </c>
      <c r="C38" s="9">
        <f>C29+C35</f>
        <v>-2636457.6090781866</v>
      </c>
      <c r="D38" s="9">
        <f>D29+D35</f>
        <v>-2527433.023225714</v>
      </c>
    </row>
    <row r="39" spans="1:6" ht="9" customHeight="1" x14ac:dyDescent="0.25">
      <c r="A39" s="4"/>
      <c r="B39" s="1"/>
      <c r="C39" s="8"/>
      <c r="D39" s="8"/>
    </row>
    <row r="40" spans="1:6" ht="9" customHeight="1" x14ac:dyDescent="0.25">
      <c r="A40" s="4"/>
      <c r="B40" s="1"/>
      <c r="C40" s="8"/>
      <c r="D40" s="8"/>
    </row>
    <row r="41" spans="1:6" ht="15.75" thickBot="1" x14ac:dyDescent="0.3">
      <c r="A41" s="4">
        <v>27</v>
      </c>
      <c r="B41" s="1" t="s">
        <v>29</v>
      </c>
      <c r="C41" s="10">
        <f>-C38</f>
        <v>2636457.6090781866</v>
      </c>
      <c r="D41" s="10">
        <f>-D38</f>
        <v>2527433.023225714</v>
      </c>
    </row>
    <row r="42" spans="1:6" ht="9" customHeight="1" thickTop="1" x14ac:dyDescent="0.25">
      <c r="A42" s="4"/>
      <c r="B42" s="1"/>
      <c r="C42" s="11"/>
      <c r="D42" s="11"/>
    </row>
    <row r="43" spans="1:6" x14ac:dyDescent="0.25">
      <c r="A43" s="4">
        <v>28</v>
      </c>
      <c r="B43" s="1" t="s">
        <v>30</v>
      </c>
      <c r="C43" s="8">
        <v>-54267.687717817724</v>
      </c>
      <c r="D43" s="8">
        <v>-52023.573434237391</v>
      </c>
    </row>
    <row r="44" spans="1:6" ht="9" customHeight="1" x14ac:dyDescent="0.25">
      <c r="A44" s="4"/>
      <c r="B44" s="1"/>
      <c r="C44" s="11"/>
      <c r="D44" s="11"/>
    </row>
    <row r="45" spans="1:6" ht="18" x14ac:dyDescent="0.25">
      <c r="A45" s="4">
        <v>29</v>
      </c>
      <c r="B45" s="16" t="s">
        <v>87</v>
      </c>
      <c r="C45" s="11"/>
      <c r="D45" s="12">
        <v>1.3280297696283401</v>
      </c>
      <c r="E45" s="108"/>
      <c r="F45" s="17"/>
    </row>
    <row r="46" spans="1:6" ht="9" customHeight="1" x14ac:dyDescent="0.25">
      <c r="A46" s="4"/>
      <c r="B46" s="1"/>
      <c r="C46" s="11"/>
      <c r="D46" s="11"/>
    </row>
    <row r="47" spans="1:6" ht="18" x14ac:dyDescent="0.25">
      <c r="A47" s="4">
        <v>30</v>
      </c>
      <c r="B47" s="1" t="s">
        <v>31</v>
      </c>
      <c r="C47" s="11"/>
      <c r="D47" s="11">
        <f>D38*D45</f>
        <v>-3356506.2955855038</v>
      </c>
    </row>
    <row r="48" spans="1:6" ht="9" customHeight="1" x14ac:dyDescent="0.25">
      <c r="A48" s="4"/>
      <c r="B48" s="1"/>
      <c r="C48" s="1"/>
      <c r="D48" s="1"/>
    </row>
    <row r="49" spans="1:4" ht="17.25" customHeight="1" x14ac:dyDescent="0.25">
      <c r="A49" s="4">
        <v>31</v>
      </c>
      <c r="B49" s="1" t="s">
        <v>32</v>
      </c>
      <c r="C49" s="1"/>
      <c r="D49" s="13">
        <v>7.6137274501427599E-2</v>
      </c>
    </row>
    <row r="50" spans="1:4" ht="9" customHeight="1" x14ac:dyDescent="0.25">
      <c r="A50" s="4"/>
      <c r="B50" s="1"/>
      <c r="C50" s="1"/>
      <c r="D50" s="1"/>
    </row>
    <row r="51" spans="1:4" ht="18" x14ac:dyDescent="0.25">
      <c r="A51" s="4">
        <v>32</v>
      </c>
      <c r="B51" s="1" t="s">
        <v>33</v>
      </c>
      <c r="C51" s="1"/>
      <c r="D51" s="8">
        <f>D43*D49*D45</f>
        <v>-5260.2370604970392</v>
      </c>
    </row>
    <row r="52" spans="1:4" ht="9" customHeight="1" thickBot="1" x14ac:dyDescent="0.3">
      <c r="A52" s="4"/>
      <c r="B52" s="1"/>
      <c r="C52" s="1"/>
      <c r="D52" s="1"/>
    </row>
    <row r="53" spans="1:4" ht="18.75" thickBot="1" x14ac:dyDescent="0.3">
      <c r="A53" s="4">
        <v>33</v>
      </c>
      <c r="B53" s="1" t="s">
        <v>34</v>
      </c>
      <c r="C53" s="1"/>
      <c r="D53" s="14">
        <f>D47+D51</f>
        <v>-3361766.5326460009</v>
      </c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5" t="s">
        <v>35</v>
      </c>
      <c r="B57" s="15"/>
      <c r="C57" s="15"/>
      <c r="D57" s="15"/>
    </row>
    <row r="58" spans="1:4" x14ac:dyDescent="0.25">
      <c r="A58" s="1" t="s">
        <v>88</v>
      </c>
      <c r="B58" s="1"/>
      <c r="C58" s="1"/>
      <c r="D58" s="1"/>
    </row>
    <row r="59" spans="1:4" x14ac:dyDescent="0.25">
      <c r="A59" s="1" t="s">
        <v>83</v>
      </c>
      <c r="B59" s="1"/>
      <c r="C59" s="1"/>
      <c r="D59" s="1"/>
    </row>
    <row r="60" spans="1:4" x14ac:dyDescent="0.25">
      <c r="A60" s="1" t="s">
        <v>272</v>
      </c>
      <c r="B60" s="1"/>
      <c r="C60" s="1"/>
      <c r="D60" s="1"/>
    </row>
    <row r="61" spans="1:4" x14ac:dyDescent="0.25">
      <c r="A61" s="1" t="s">
        <v>84</v>
      </c>
      <c r="B61" s="1"/>
      <c r="C61" s="1"/>
      <c r="D61" s="1"/>
    </row>
    <row r="62" spans="1:4" x14ac:dyDescent="0.25">
      <c r="A62" s="1" t="s">
        <v>85</v>
      </c>
      <c r="B62" s="1"/>
      <c r="C62" s="1"/>
      <c r="D62" s="1"/>
    </row>
  </sheetData>
  <mergeCells count="1">
    <mergeCell ref="A1:D1"/>
  </mergeCells>
  <printOptions horizontalCentered="1"/>
  <pageMargins left="0.7" right="0.7" top="1.35" bottom="0.75" header="0.7" footer="0.3"/>
  <pageSetup scale="76" orientation="portrait" r:id="rId1"/>
  <headerFooter scaleWithDoc="0">
    <oddHeader>&amp;R&amp;"Times New Roman,Bold"&amp;8Docket No. 25-057-06
UAE Exhibit RR 1.2
Page 1 of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52599-CA6A-4EDC-8A1C-5A304C59542D}">
  <sheetPr>
    <pageSetUpPr fitToPage="1"/>
  </sheetPr>
  <dimension ref="A1:L37"/>
  <sheetViews>
    <sheetView zoomScaleNormal="100" workbookViewId="0">
      <selection activeCell="F15" sqref="F15"/>
    </sheetView>
  </sheetViews>
  <sheetFormatPr defaultRowHeight="15" x14ac:dyDescent="0.25"/>
  <cols>
    <col min="1" max="1" width="6.7109375" customWidth="1"/>
    <col min="2" max="2" width="11" customWidth="1"/>
    <col min="3" max="3" width="34" customWidth="1"/>
    <col min="4" max="4" width="15" customWidth="1"/>
    <col min="5" max="5" width="1.7109375" customWidth="1"/>
    <col min="6" max="6" width="15" customWidth="1"/>
    <col min="7" max="7" width="3.140625" customWidth="1"/>
    <col min="8" max="8" width="15" customWidth="1"/>
    <col min="9" max="9" width="3.140625" customWidth="1"/>
    <col min="10" max="10" width="17" customWidth="1"/>
    <col min="11" max="11" width="1.7109375" customWidth="1"/>
    <col min="12" max="12" width="15" customWidth="1"/>
  </cols>
  <sheetData>
    <row r="1" spans="1:12" x14ac:dyDescent="0.25">
      <c r="A1" s="264" t="s">
        <v>164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8.75" customHeight="1" x14ac:dyDescent="0.25">
      <c r="A3" s="1"/>
      <c r="B3" s="16" t="s">
        <v>116</v>
      </c>
      <c r="C3" s="1"/>
      <c r="D3" s="1"/>
      <c r="E3" s="1"/>
      <c r="F3" s="143">
        <v>7.6400954771487894E-2</v>
      </c>
      <c r="G3" s="107"/>
      <c r="H3" s="143">
        <v>3.0000000000000027E-2</v>
      </c>
      <c r="I3" s="160"/>
      <c r="J3" s="1"/>
      <c r="K3" s="1"/>
      <c r="L3" s="1"/>
    </row>
    <row r="4" spans="1:12" ht="14.25" customHeight="1" x14ac:dyDescent="0.25">
      <c r="A4" s="1"/>
      <c r="B4" s="16"/>
      <c r="C4" s="1"/>
      <c r="D4" s="1"/>
      <c r="E4" s="1"/>
      <c r="F4" s="143"/>
      <c r="G4" s="107"/>
      <c r="H4" s="142"/>
      <c r="I4" s="160"/>
      <c r="J4" s="1"/>
      <c r="K4" s="1"/>
      <c r="L4" s="1"/>
    </row>
    <row r="5" spans="1:12" ht="14.25" customHeight="1" x14ac:dyDescent="0.25">
      <c r="A5" s="1"/>
      <c r="B5" s="111" t="s">
        <v>159</v>
      </c>
      <c r="C5" s="4" t="s">
        <v>74</v>
      </c>
      <c r="D5" s="4" t="s">
        <v>76</v>
      </c>
      <c r="E5" s="4"/>
      <c r="F5" s="143" t="s">
        <v>75</v>
      </c>
      <c r="G5" s="107"/>
      <c r="H5" s="142" t="s">
        <v>77</v>
      </c>
      <c r="I5" s="160"/>
      <c r="J5" s="4" t="s">
        <v>78</v>
      </c>
      <c r="K5" s="4"/>
      <c r="L5" s="4" t="s">
        <v>125</v>
      </c>
    </row>
    <row r="6" spans="1:12" ht="45" x14ac:dyDescent="0.25">
      <c r="A6" s="4" t="s">
        <v>40</v>
      </c>
      <c r="B6" s="1"/>
      <c r="C6" s="1"/>
      <c r="D6" s="2" t="s">
        <v>165</v>
      </c>
      <c r="E6" s="1"/>
      <c r="F6" s="2" t="s">
        <v>166</v>
      </c>
      <c r="G6" s="2"/>
      <c r="H6" s="2" t="s">
        <v>166</v>
      </c>
      <c r="I6" s="2"/>
      <c r="J6" s="2" t="s">
        <v>173</v>
      </c>
      <c r="K6" s="1"/>
      <c r="L6" s="2" t="s">
        <v>174</v>
      </c>
    </row>
    <row r="7" spans="1:12" ht="18" x14ac:dyDescent="0.25">
      <c r="A7" s="3" t="s">
        <v>43</v>
      </c>
      <c r="B7" s="22" t="s">
        <v>44</v>
      </c>
      <c r="C7" s="15" t="s">
        <v>45</v>
      </c>
      <c r="D7" s="22" t="s">
        <v>111</v>
      </c>
      <c r="E7" s="1"/>
      <c r="F7" s="22">
        <v>2025</v>
      </c>
      <c r="G7" s="4"/>
      <c r="H7" s="22">
        <v>2026</v>
      </c>
      <c r="I7" s="4"/>
      <c r="J7" s="22">
        <v>2026</v>
      </c>
      <c r="K7" s="1"/>
      <c r="L7" s="22">
        <v>2026</v>
      </c>
    </row>
    <row r="8" spans="1:12" ht="12" customHeight="1" x14ac:dyDescent="0.25">
      <c r="A8" s="1"/>
      <c r="B8" s="2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6.5" customHeight="1" x14ac:dyDescent="0.25">
      <c r="A9" s="4">
        <v>1</v>
      </c>
      <c r="B9" s="4" t="s">
        <v>80</v>
      </c>
      <c r="C9" s="1" t="s">
        <v>112</v>
      </c>
      <c r="D9" s="8">
        <v>2906534.0393566</v>
      </c>
      <c r="E9" s="8"/>
      <c r="F9" s="8">
        <f>D9*(1+F3)</f>
        <v>3128596.0150392735</v>
      </c>
      <c r="G9" s="8"/>
      <c r="H9" s="8">
        <f>F9*(1+H3)</f>
        <v>3222453.8954904517</v>
      </c>
      <c r="I9" s="34"/>
      <c r="J9" s="8">
        <v>0</v>
      </c>
      <c r="K9" s="8"/>
      <c r="L9" s="8">
        <f>J9-H9</f>
        <v>-3222453.8954904517</v>
      </c>
    </row>
    <row r="10" spans="1:12" ht="16.5" customHeight="1" x14ac:dyDescent="0.25">
      <c r="A10" s="4"/>
      <c r="B10" s="4"/>
      <c r="C10" s="1"/>
      <c r="D10" s="8"/>
      <c r="E10" s="8"/>
      <c r="F10" s="8"/>
      <c r="G10" s="8"/>
      <c r="H10" s="8"/>
      <c r="I10" s="34"/>
      <c r="J10" s="8"/>
      <c r="K10" s="8"/>
      <c r="L10" s="8"/>
    </row>
    <row r="11" spans="1:12" ht="16.5" customHeight="1" x14ac:dyDescent="0.25">
      <c r="A11" s="22">
        <v>2</v>
      </c>
      <c r="B11" s="22" t="s">
        <v>80</v>
      </c>
      <c r="C11" s="15" t="s">
        <v>113</v>
      </c>
      <c r="D11" s="9">
        <v>19002</v>
      </c>
      <c r="E11" s="9"/>
      <c r="F11" s="9">
        <f>D11*(1+F3)</f>
        <v>20453.770942567811</v>
      </c>
      <c r="G11" s="9"/>
      <c r="H11" s="9">
        <f>F11*(1+H3)</f>
        <v>21067.384070844848</v>
      </c>
      <c r="I11" s="9"/>
      <c r="J11" s="9">
        <v>0</v>
      </c>
      <c r="K11" s="9"/>
      <c r="L11" s="9">
        <f>J11-H11</f>
        <v>-21067.384070844848</v>
      </c>
    </row>
    <row r="12" spans="1:12" x14ac:dyDescent="0.25">
      <c r="A12" s="4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8" x14ac:dyDescent="0.25">
      <c r="A13" s="4">
        <v>3</v>
      </c>
      <c r="B13" s="4">
        <v>408</v>
      </c>
      <c r="C13" s="1" t="s">
        <v>81</v>
      </c>
      <c r="D13" s="1"/>
      <c r="E13" s="1"/>
      <c r="F13" s="1"/>
      <c r="G13" s="1"/>
      <c r="H13" s="1"/>
      <c r="I13" s="1"/>
      <c r="J13" s="1"/>
      <c r="K13" s="1"/>
      <c r="L13" s="11">
        <f>L9*D22</f>
        <v>-246517.72300501956</v>
      </c>
    </row>
    <row r="14" spans="1:12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1"/>
    </row>
    <row r="15" spans="1:12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4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76" t="s">
        <v>35</v>
      </c>
      <c r="B17" s="15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8" customHeight="1" x14ac:dyDescent="0.25">
      <c r="A18" s="24" t="s">
        <v>285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24" t="s">
        <v>283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24" t="s">
        <v>284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24" t="s">
        <v>282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24" t="s">
        <v>89</v>
      </c>
      <c r="B22" s="1"/>
      <c r="C22" s="1"/>
      <c r="D22" s="80">
        <v>7.6499999999999999E-2</v>
      </c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35" spans="3:3" x14ac:dyDescent="0.25">
      <c r="C35" s="109"/>
    </row>
    <row r="37" spans="3:3" x14ac:dyDescent="0.25">
      <c r="C37" s="109"/>
    </row>
  </sheetData>
  <mergeCells count="1">
    <mergeCell ref="A1:L1"/>
  </mergeCells>
  <printOptions horizontalCentered="1"/>
  <pageMargins left="0.7" right="0.7" top="1.35" bottom="0.75" header="0.7" footer="0.3"/>
  <pageSetup scale="90" orientation="landscape" r:id="rId1"/>
  <headerFooter scaleWithDoc="0">
    <oddHeader>&amp;R&amp;"Times New Roman,Bold"&amp;8Docket No. 25-057-06
UAE Exhibit RR 1.2
Page 2 of 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EA91C-784F-4C5C-9D92-F364E0E1E0C7}">
  <sheetPr>
    <pageSetUpPr fitToPage="1"/>
  </sheetPr>
  <dimension ref="A1:F62"/>
  <sheetViews>
    <sheetView zoomScaleNormal="100" workbookViewId="0">
      <selection activeCell="G60" sqref="G60"/>
    </sheetView>
  </sheetViews>
  <sheetFormatPr defaultRowHeight="15" x14ac:dyDescent="0.25"/>
  <cols>
    <col min="1" max="1" width="6" customWidth="1"/>
    <col min="2" max="2" width="47.5703125" customWidth="1"/>
    <col min="3" max="4" width="21.140625" customWidth="1"/>
    <col min="5" max="5" width="23.5703125" customWidth="1"/>
    <col min="6" max="6" width="13.28515625" bestFit="1" customWidth="1"/>
  </cols>
  <sheetData>
    <row r="1" spans="1:5" ht="18.75" x14ac:dyDescent="0.3">
      <c r="A1" s="262" t="s">
        <v>171</v>
      </c>
      <c r="B1" s="262"/>
      <c r="C1" s="262"/>
      <c r="D1" s="262"/>
    </row>
    <row r="2" spans="1:5" x14ac:dyDescent="0.25">
      <c r="A2" s="1"/>
      <c r="B2" s="1"/>
      <c r="C2" s="1"/>
      <c r="D2" s="1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2" t="s">
        <v>36</v>
      </c>
      <c r="D4" s="2" t="s">
        <v>0</v>
      </c>
    </row>
    <row r="5" spans="1:5" ht="9" customHeight="1" x14ac:dyDescent="0.25">
      <c r="A5" s="1"/>
      <c r="B5" s="1"/>
      <c r="C5" s="2"/>
      <c r="D5" s="2"/>
    </row>
    <row r="6" spans="1:5" ht="47.25" customHeight="1" x14ac:dyDescent="0.25">
      <c r="A6" s="3" t="s">
        <v>1</v>
      </c>
      <c r="B6" s="1"/>
      <c r="C6" s="2" t="s">
        <v>172</v>
      </c>
      <c r="D6" s="2" t="s">
        <v>172</v>
      </c>
    </row>
    <row r="7" spans="1:5" x14ac:dyDescent="0.25">
      <c r="A7" s="4"/>
      <c r="B7" s="1"/>
      <c r="C7" s="4" t="s">
        <v>2</v>
      </c>
      <c r="D7" s="4" t="s">
        <v>3</v>
      </c>
      <c r="E7" s="5"/>
    </row>
    <row r="8" spans="1:5" x14ac:dyDescent="0.25">
      <c r="A8" s="4">
        <v>1</v>
      </c>
      <c r="B8" s="1" t="s">
        <v>4</v>
      </c>
      <c r="C8" s="6"/>
      <c r="D8" s="6"/>
      <c r="E8" s="5"/>
    </row>
    <row r="9" spans="1:5" x14ac:dyDescent="0.25">
      <c r="A9" s="4">
        <v>2</v>
      </c>
      <c r="B9" s="7" t="s">
        <v>5</v>
      </c>
      <c r="C9" s="8">
        <v>0</v>
      </c>
      <c r="D9" s="8">
        <v>0</v>
      </c>
    </row>
    <row r="10" spans="1:5" x14ac:dyDescent="0.25">
      <c r="A10" s="4">
        <v>3</v>
      </c>
      <c r="B10" s="7" t="s">
        <v>6</v>
      </c>
      <c r="C10" s="8">
        <v>0</v>
      </c>
      <c r="D10" s="8">
        <v>0</v>
      </c>
    </row>
    <row r="11" spans="1:5" x14ac:dyDescent="0.25">
      <c r="A11" s="4">
        <v>4</v>
      </c>
      <c r="B11" s="7" t="s">
        <v>7</v>
      </c>
      <c r="C11" s="8">
        <v>0</v>
      </c>
      <c r="D11" s="8">
        <v>0</v>
      </c>
    </row>
    <row r="12" spans="1:5" x14ac:dyDescent="0.25">
      <c r="A12" s="4">
        <v>5</v>
      </c>
      <c r="B12" s="7" t="s">
        <v>8</v>
      </c>
      <c r="C12" s="8">
        <v>0</v>
      </c>
      <c r="D12" s="8">
        <v>0</v>
      </c>
    </row>
    <row r="13" spans="1:5" x14ac:dyDescent="0.25">
      <c r="A13" s="4">
        <v>6</v>
      </c>
      <c r="B13" s="7" t="s">
        <v>9</v>
      </c>
      <c r="C13" s="9">
        <v>0</v>
      </c>
      <c r="D13" s="9">
        <v>0</v>
      </c>
    </row>
    <row r="14" spans="1:5" x14ac:dyDescent="0.25">
      <c r="A14" s="4">
        <v>7</v>
      </c>
      <c r="B14" s="1" t="s">
        <v>10</v>
      </c>
      <c r="C14" s="8">
        <f>SUM(C9:C13)</f>
        <v>0</v>
      </c>
      <c r="D14" s="8">
        <f>SUM(D9:D13)</f>
        <v>0</v>
      </c>
    </row>
    <row r="15" spans="1:5" ht="9" customHeight="1" x14ac:dyDescent="0.25">
      <c r="A15" s="4"/>
      <c r="B15" s="1"/>
      <c r="C15" s="8"/>
      <c r="D15" s="8"/>
    </row>
    <row r="16" spans="1:5" x14ac:dyDescent="0.25">
      <c r="A16" s="4">
        <v>8</v>
      </c>
      <c r="B16" s="1" t="s">
        <v>11</v>
      </c>
      <c r="C16" s="8"/>
      <c r="D16" s="8"/>
    </row>
    <row r="17" spans="1:4" x14ac:dyDescent="0.25">
      <c r="A17" s="4">
        <v>9</v>
      </c>
      <c r="B17" s="7" t="s">
        <v>12</v>
      </c>
      <c r="C17" s="8"/>
      <c r="D17" s="8"/>
    </row>
    <row r="18" spans="1:4" x14ac:dyDescent="0.25">
      <c r="A18" s="4">
        <v>10</v>
      </c>
      <c r="B18" s="7" t="s">
        <v>13</v>
      </c>
      <c r="C18" s="8">
        <v>0</v>
      </c>
      <c r="D18" s="8">
        <v>0</v>
      </c>
    </row>
    <row r="19" spans="1:4" x14ac:dyDescent="0.25">
      <c r="A19" s="4">
        <v>11</v>
      </c>
      <c r="B19" s="7" t="s">
        <v>14</v>
      </c>
      <c r="C19" s="9">
        <v>0</v>
      </c>
      <c r="D19" s="9">
        <v>0</v>
      </c>
    </row>
    <row r="20" spans="1:4" x14ac:dyDescent="0.25">
      <c r="A20" s="4">
        <v>12</v>
      </c>
      <c r="B20" s="1" t="s">
        <v>15</v>
      </c>
      <c r="C20" s="8">
        <f>SUM(C18:C19)</f>
        <v>0</v>
      </c>
      <c r="D20" s="8">
        <f>SUM(D18:D19)</f>
        <v>0</v>
      </c>
    </row>
    <row r="21" spans="1:4" ht="9" customHeight="1" x14ac:dyDescent="0.25">
      <c r="A21" s="4"/>
      <c r="B21" s="1"/>
      <c r="C21" s="8"/>
      <c r="D21" s="8"/>
    </row>
    <row r="22" spans="1:4" x14ac:dyDescent="0.25">
      <c r="A22" s="4">
        <v>13</v>
      </c>
      <c r="B22" s="1" t="s">
        <v>16</v>
      </c>
      <c r="C22" s="34"/>
      <c r="D22" s="34"/>
    </row>
    <row r="23" spans="1:4" x14ac:dyDescent="0.25">
      <c r="A23" s="4">
        <v>14</v>
      </c>
      <c r="B23" s="7" t="s">
        <v>17</v>
      </c>
      <c r="C23" s="34">
        <v>0</v>
      </c>
      <c r="D23" s="34">
        <v>0</v>
      </c>
    </row>
    <row r="24" spans="1:4" x14ac:dyDescent="0.25">
      <c r="A24" s="4">
        <v>15</v>
      </c>
      <c r="B24" s="7" t="s">
        <v>82</v>
      </c>
      <c r="C24" s="34">
        <v>-115981.79080493189</v>
      </c>
      <c r="D24" s="34">
        <v>-115981.79080493189</v>
      </c>
    </row>
    <row r="25" spans="1:4" x14ac:dyDescent="0.25">
      <c r="A25" s="4">
        <v>16</v>
      </c>
      <c r="B25" s="7" t="s">
        <v>18</v>
      </c>
      <c r="C25" s="34">
        <v>-2759674.9628861845</v>
      </c>
      <c r="D25" s="34">
        <v>-2595491.4543492049</v>
      </c>
    </row>
    <row r="26" spans="1:4" x14ac:dyDescent="0.25">
      <c r="A26" s="4">
        <v>17</v>
      </c>
      <c r="B26" s="7" t="s">
        <v>19</v>
      </c>
      <c r="C26" s="34">
        <v>-1046846.227523461</v>
      </c>
      <c r="D26" s="34">
        <v>-1017658.0180618353</v>
      </c>
    </row>
    <row r="27" spans="1:4" x14ac:dyDescent="0.25">
      <c r="A27" s="4">
        <v>18</v>
      </c>
      <c r="B27" s="7" t="s">
        <v>20</v>
      </c>
      <c r="C27" s="34">
        <v>-206718.24065725179</v>
      </c>
      <c r="D27" s="34">
        <v>-204947.96382317645</v>
      </c>
    </row>
    <row r="28" spans="1:4" x14ac:dyDescent="0.25">
      <c r="A28" s="4">
        <v>19</v>
      </c>
      <c r="B28" s="7" t="s">
        <v>21</v>
      </c>
      <c r="C28" s="9">
        <v>-3854615.8374093994</v>
      </c>
      <c r="D28" s="9">
        <v>-3723532.6068964452</v>
      </c>
    </row>
    <row r="29" spans="1:4" x14ac:dyDescent="0.25">
      <c r="A29" s="4">
        <v>20</v>
      </c>
      <c r="B29" s="1" t="s">
        <v>22</v>
      </c>
      <c r="C29" s="8">
        <f>SUM(C23:C28)</f>
        <v>-7983837.0592812281</v>
      </c>
      <c r="D29" s="8">
        <f>SUM(D23:D28)</f>
        <v>-7657611.8339355942</v>
      </c>
    </row>
    <row r="30" spans="1:4" ht="9" customHeight="1" x14ac:dyDescent="0.25">
      <c r="A30" s="4"/>
      <c r="B30" s="1"/>
      <c r="C30" s="8"/>
      <c r="D30" s="8"/>
    </row>
    <row r="31" spans="1:4" x14ac:dyDescent="0.25">
      <c r="A31" s="4">
        <v>21</v>
      </c>
      <c r="B31" s="1" t="s">
        <v>23</v>
      </c>
      <c r="C31" s="8"/>
      <c r="D31" s="8"/>
    </row>
    <row r="32" spans="1:4" x14ac:dyDescent="0.25">
      <c r="A32" s="4">
        <v>22</v>
      </c>
      <c r="B32" s="7" t="s">
        <v>24</v>
      </c>
      <c r="C32" s="120">
        <v>0</v>
      </c>
      <c r="D32" s="8">
        <v>0</v>
      </c>
    </row>
    <row r="33" spans="1:6" x14ac:dyDescent="0.25">
      <c r="A33" s="4">
        <v>23</v>
      </c>
      <c r="B33" s="7" t="s">
        <v>25</v>
      </c>
      <c r="C33" s="8">
        <v>-550195.81954371929</v>
      </c>
      <c r="D33" s="8">
        <v>-527714.4294699803</v>
      </c>
      <c r="E33" s="108"/>
    </row>
    <row r="34" spans="1:6" x14ac:dyDescent="0.25">
      <c r="A34" s="4">
        <v>24</v>
      </c>
      <c r="B34" s="7" t="s">
        <v>26</v>
      </c>
      <c r="C34" s="166">
        <v>2087223.5729813576</v>
      </c>
      <c r="D34" s="9">
        <v>2001938.1425064057</v>
      </c>
    </row>
    <row r="35" spans="1:6" x14ac:dyDescent="0.25">
      <c r="A35" s="4">
        <v>25</v>
      </c>
      <c r="B35" s="1" t="s">
        <v>27</v>
      </c>
      <c r="C35" s="8">
        <f>SUM(C32:C34)</f>
        <v>1537027.7534376383</v>
      </c>
      <c r="D35" s="8">
        <f>SUM(D32:D34)</f>
        <v>1474223.7130364254</v>
      </c>
    </row>
    <row r="36" spans="1:6" x14ac:dyDescent="0.25">
      <c r="A36" s="4"/>
      <c r="B36" s="1"/>
      <c r="C36" s="8"/>
      <c r="D36" s="8"/>
    </row>
    <row r="37" spans="1:6" ht="9" customHeight="1" x14ac:dyDescent="0.25">
      <c r="A37" s="4"/>
      <c r="B37" s="1"/>
      <c r="C37" s="8"/>
      <c r="D37" s="8"/>
    </row>
    <row r="38" spans="1:6" x14ac:dyDescent="0.25">
      <c r="A38" s="4">
        <v>26</v>
      </c>
      <c r="B38" s="1" t="s">
        <v>28</v>
      </c>
      <c r="C38" s="9">
        <f>C29+C35</f>
        <v>-6446809.3058435898</v>
      </c>
      <c r="D38" s="9">
        <f>D29+D35</f>
        <v>-6183388.1208991688</v>
      </c>
    </row>
    <row r="39" spans="1:6" ht="9" customHeight="1" x14ac:dyDescent="0.25">
      <c r="A39" s="4"/>
      <c r="B39" s="1"/>
      <c r="C39" s="8"/>
      <c r="D39" s="8"/>
    </row>
    <row r="40" spans="1:6" ht="9" customHeight="1" x14ac:dyDescent="0.25">
      <c r="A40" s="4"/>
      <c r="B40" s="1"/>
      <c r="C40" s="8"/>
      <c r="D40" s="8"/>
    </row>
    <row r="41" spans="1:6" ht="15.75" thickBot="1" x14ac:dyDescent="0.3">
      <c r="A41" s="4">
        <v>27</v>
      </c>
      <c r="B41" s="1" t="s">
        <v>29</v>
      </c>
      <c r="C41" s="10">
        <f>-C38</f>
        <v>6446809.3058435898</v>
      </c>
      <c r="D41" s="10">
        <f>-D38</f>
        <v>6183388.1208991688</v>
      </c>
    </row>
    <row r="42" spans="1:6" ht="9" customHeight="1" thickTop="1" x14ac:dyDescent="0.25">
      <c r="A42" s="4"/>
      <c r="B42" s="1"/>
      <c r="C42" s="11"/>
      <c r="D42" s="11"/>
    </row>
    <row r="43" spans="1:6" x14ac:dyDescent="0.25">
      <c r="A43" s="4">
        <v>28</v>
      </c>
      <c r="B43" s="1" t="s">
        <v>30</v>
      </c>
      <c r="C43" s="8">
        <v>-132698.29675292969</v>
      </c>
      <c r="D43" s="8">
        <v>-127276.15055418015</v>
      </c>
    </row>
    <row r="44" spans="1:6" ht="9" customHeight="1" x14ac:dyDescent="0.25">
      <c r="A44" s="4"/>
      <c r="B44" s="1"/>
      <c r="C44" s="11"/>
      <c r="D44" s="11"/>
    </row>
    <row r="45" spans="1:6" ht="18" x14ac:dyDescent="0.25">
      <c r="A45" s="4">
        <v>29</v>
      </c>
      <c r="B45" s="16" t="s">
        <v>87</v>
      </c>
      <c r="C45" s="11"/>
      <c r="D45" s="12">
        <v>1.3280297696283401</v>
      </c>
      <c r="E45" s="108"/>
      <c r="F45" s="17"/>
    </row>
    <row r="46" spans="1:6" ht="9" customHeight="1" x14ac:dyDescent="0.25">
      <c r="A46" s="4"/>
      <c r="B46" s="1"/>
      <c r="C46" s="11"/>
      <c r="D46" s="11"/>
    </row>
    <row r="47" spans="1:6" ht="18" x14ac:dyDescent="0.25">
      <c r="A47" s="4">
        <v>30</v>
      </c>
      <c r="B47" s="1" t="s">
        <v>31</v>
      </c>
      <c r="C47" s="11"/>
      <c r="D47" s="11">
        <f>D38*D45</f>
        <v>-8211723.5017203381</v>
      </c>
    </row>
    <row r="48" spans="1:6" ht="9" customHeight="1" x14ac:dyDescent="0.25">
      <c r="A48" s="4"/>
      <c r="B48" s="1"/>
      <c r="C48" s="1"/>
      <c r="D48" s="1"/>
    </row>
    <row r="49" spans="1:4" ht="17.25" customHeight="1" x14ac:dyDescent="0.25">
      <c r="A49" s="4">
        <v>31</v>
      </c>
      <c r="B49" s="1" t="s">
        <v>32</v>
      </c>
      <c r="C49" s="1"/>
      <c r="D49" s="13">
        <v>7.6137274501427599E-2</v>
      </c>
    </row>
    <row r="50" spans="1:4" ht="9" customHeight="1" x14ac:dyDescent="0.25">
      <c r="A50" s="4"/>
      <c r="B50" s="1"/>
      <c r="C50" s="1"/>
      <c r="D50" s="1"/>
    </row>
    <row r="51" spans="1:4" ht="18" x14ac:dyDescent="0.25">
      <c r="A51" s="4">
        <v>32</v>
      </c>
      <c r="B51" s="1" t="s">
        <v>33</v>
      </c>
      <c r="C51" s="1"/>
      <c r="D51" s="8">
        <f>D43*D49*D45</f>
        <v>-12869.218315208826</v>
      </c>
    </row>
    <row r="52" spans="1:4" ht="9" customHeight="1" thickBot="1" x14ac:dyDescent="0.3">
      <c r="A52" s="4"/>
      <c r="B52" s="1"/>
      <c r="C52" s="1"/>
      <c r="D52" s="1"/>
    </row>
    <row r="53" spans="1:4" ht="18.75" thickBot="1" x14ac:dyDescent="0.3">
      <c r="A53" s="4">
        <v>33</v>
      </c>
      <c r="B53" s="1" t="s">
        <v>34</v>
      </c>
      <c r="C53" s="1"/>
      <c r="D53" s="14">
        <f>D47+D51</f>
        <v>-8224592.7200355474</v>
      </c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5" t="s">
        <v>35</v>
      </c>
      <c r="B57" s="15"/>
      <c r="C57" s="15"/>
      <c r="D57" s="15"/>
    </row>
    <row r="58" spans="1:4" x14ac:dyDescent="0.25">
      <c r="A58" s="1" t="s">
        <v>88</v>
      </c>
      <c r="B58" s="1"/>
      <c r="C58" s="1"/>
      <c r="D58" s="1"/>
    </row>
    <row r="59" spans="1:4" x14ac:dyDescent="0.25">
      <c r="A59" s="1" t="s">
        <v>83</v>
      </c>
      <c r="B59" s="1"/>
      <c r="C59" s="1"/>
      <c r="D59" s="1"/>
    </row>
    <row r="60" spans="1:4" x14ac:dyDescent="0.25">
      <c r="A60" s="1" t="s">
        <v>272</v>
      </c>
      <c r="B60" s="1"/>
      <c r="C60" s="1"/>
      <c r="D60" s="1"/>
    </row>
    <row r="61" spans="1:4" x14ac:dyDescent="0.25">
      <c r="A61" s="1" t="s">
        <v>84</v>
      </c>
      <c r="B61" s="1"/>
      <c r="C61" s="1"/>
      <c r="D61" s="1"/>
    </row>
    <row r="62" spans="1:4" x14ac:dyDescent="0.25">
      <c r="A62" s="1" t="s">
        <v>85</v>
      </c>
      <c r="B62" s="1"/>
      <c r="C62" s="1"/>
      <c r="D62" s="1"/>
    </row>
  </sheetData>
  <mergeCells count="1">
    <mergeCell ref="A1:D1"/>
  </mergeCells>
  <printOptions horizontalCentered="1"/>
  <pageMargins left="0.7" right="0.7" top="1.35" bottom="0.75" header="0.7" footer="0.3"/>
  <pageSetup scale="78" orientation="portrait" r:id="rId1"/>
  <headerFooter scaleWithDoc="0">
    <oddHeader>&amp;R&amp;"Times New Roman,Bold"&amp;8Docket No. 25-057-06
UAE Exhibit RR 1.3
Page 1 of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86278-B0DD-4DF8-973D-8042F68C42BF}">
  <sheetPr>
    <pageSetUpPr fitToPage="1"/>
  </sheetPr>
  <dimension ref="A1:G40"/>
  <sheetViews>
    <sheetView zoomScaleNormal="100" workbookViewId="0">
      <selection activeCell="M14" sqref="M14"/>
    </sheetView>
  </sheetViews>
  <sheetFormatPr defaultRowHeight="15" x14ac:dyDescent="0.25"/>
  <cols>
    <col min="1" max="1" width="5.5703125" customWidth="1"/>
    <col min="2" max="2" width="15.7109375" style="20" customWidth="1"/>
    <col min="3" max="3" width="16.85546875" customWidth="1"/>
    <col min="4" max="4" width="15.7109375" customWidth="1"/>
    <col min="5" max="5" width="5" customWidth="1"/>
    <col min="6" max="6" width="28.5703125" customWidth="1"/>
    <col min="7" max="7" width="16.85546875" customWidth="1"/>
    <col min="8" max="8" width="13.28515625" bestFit="1" customWidth="1"/>
  </cols>
  <sheetData>
    <row r="1" spans="1:7" x14ac:dyDescent="0.25">
      <c r="A1" s="264" t="s">
        <v>67</v>
      </c>
      <c r="B1" s="264"/>
      <c r="C1" s="264"/>
      <c r="D1" s="264"/>
      <c r="E1" s="264"/>
      <c r="F1" s="264"/>
      <c r="G1" s="264"/>
    </row>
    <row r="2" spans="1:7" x14ac:dyDescent="0.25">
      <c r="A2" s="1"/>
      <c r="B2" s="167" t="s">
        <v>159</v>
      </c>
      <c r="C2" s="4" t="s">
        <v>74</v>
      </c>
      <c r="D2" s="4" t="s">
        <v>76</v>
      </c>
      <c r="E2" s="4"/>
      <c r="F2" s="4" t="s">
        <v>75</v>
      </c>
      <c r="G2" s="4" t="s">
        <v>77</v>
      </c>
    </row>
    <row r="3" spans="1:7" x14ac:dyDescent="0.25">
      <c r="A3" s="1"/>
      <c r="B3" s="265" t="s">
        <v>117</v>
      </c>
      <c r="C3" s="266"/>
      <c r="D3" s="267"/>
      <c r="E3" s="1"/>
      <c r="F3" s="268" t="s">
        <v>160</v>
      </c>
      <c r="G3" s="269"/>
    </row>
    <row r="4" spans="1:7" ht="18" x14ac:dyDescent="0.25">
      <c r="A4" s="1"/>
      <c r="B4" s="82" t="s">
        <v>39</v>
      </c>
      <c r="C4" s="83" t="s">
        <v>119</v>
      </c>
      <c r="D4" s="84" t="s">
        <v>120</v>
      </c>
      <c r="E4" s="1"/>
      <c r="F4" s="47" t="s">
        <v>161</v>
      </c>
      <c r="G4" s="259">
        <f>AVERAGE(D10:D21)</f>
        <v>1104.7559630093638</v>
      </c>
    </row>
    <row r="5" spans="1:7" x14ac:dyDescent="0.25">
      <c r="A5" s="1"/>
      <c r="B5" s="85">
        <v>45292</v>
      </c>
      <c r="C5" s="72">
        <v>994.03054347826082</v>
      </c>
      <c r="D5" s="144">
        <v>955.8608695652174</v>
      </c>
      <c r="E5" s="86"/>
      <c r="F5" s="49"/>
      <c r="G5" s="144"/>
    </row>
    <row r="6" spans="1:7" ht="18" x14ac:dyDescent="0.25">
      <c r="A6" s="1"/>
      <c r="B6" s="85">
        <v>45323</v>
      </c>
      <c r="C6" s="72">
        <v>997.90458333333333</v>
      </c>
      <c r="D6" s="72">
        <v>957.24732142857147</v>
      </c>
      <c r="E6" s="86"/>
      <c r="F6" s="47" t="s">
        <v>123</v>
      </c>
      <c r="G6" s="100">
        <f>AVERAGE(C17:C28)</f>
        <v>1239.8485210891918</v>
      </c>
    </row>
    <row r="7" spans="1:7" x14ac:dyDescent="0.25">
      <c r="A7" s="1"/>
      <c r="B7" s="85">
        <v>45352</v>
      </c>
      <c r="C7" s="72">
        <v>1002.6322023809523</v>
      </c>
      <c r="D7" s="72">
        <v>969.94779761904761</v>
      </c>
      <c r="E7" s="86"/>
      <c r="F7" s="49"/>
      <c r="G7" s="260"/>
    </row>
    <row r="8" spans="1:7" x14ac:dyDescent="0.25">
      <c r="A8" s="1"/>
      <c r="B8" s="85">
        <v>45383</v>
      </c>
      <c r="C8" s="72">
        <v>1001.6176704545454</v>
      </c>
      <c r="D8" s="72">
        <v>978.23272727272729</v>
      </c>
      <c r="E8" s="86"/>
      <c r="F8" s="47" t="s">
        <v>121</v>
      </c>
      <c r="G8" s="100">
        <f>G4-G6</f>
        <v>-135.092558079828</v>
      </c>
    </row>
    <row r="9" spans="1:7" x14ac:dyDescent="0.25">
      <c r="A9" s="1"/>
      <c r="B9" s="85">
        <v>45413</v>
      </c>
      <c r="C9" s="72">
        <v>1000.9679347826087</v>
      </c>
      <c r="D9" s="72">
        <v>976.25195652173909</v>
      </c>
      <c r="E9" s="86"/>
      <c r="F9" s="25"/>
      <c r="G9" s="62"/>
    </row>
    <row r="10" spans="1:7" x14ac:dyDescent="0.25">
      <c r="A10" s="1"/>
      <c r="B10" s="85">
        <v>45444</v>
      </c>
      <c r="C10" s="72">
        <v>1014.9076875</v>
      </c>
      <c r="D10" s="72">
        <v>1121.1021249999999</v>
      </c>
      <c r="E10" s="86"/>
      <c r="F10" s="47" t="s">
        <v>122</v>
      </c>
      <c r="G10" s="261">
        <f>G8/G6</f>
        <v>-0.10895892182147447</v>
      </c>
    </row>
    <row r="11" spans="1:7" x14ac:dyDescent="0.25">
      <c r="A11" s="1"/>
      <c r="B11" s="85">
        <v>45474</v>
      </c>
      <c r="C11" s="72">
        <v>1005.9518478260869</v>
      </c>
      <c r="D11" s="72">
        <v>1116.9879347826088</v>
      </c>
      <c r="E11" s="86"/>
      <c r="F11" s="1"/>
      <c r="G11" s="1"/>
    </row>
    <row r="12" spans="1:7" x14ac:dyDescent="0.25">
      <c r="A12" s="1"/>
      <c r="B12" s="85">
        <v>45505</v>
      </c>
      <c r="C12" s="72">
        <v>1000.2997282608695</v>
      </c>
      <c r="D12" s="72">
        <v>1124.3797282608696</v>
      </c>
      <c r="E12" s="86"/>
      <c r="F12" s="1"/>
      <c r="G12" s="1"/>
    </row>
    <row r="13" spans="1:7" x14ac:dyDescent="0.25">
      <c r="A13" s="1"/>
      <c r="B13" s="85">
        <v>45536</v>
      </c>
      <c r="C13" s="72">
        <v>1013.72375</v>
      </c>
      <c r="D13" s="72">
        <v>1124.2376190476191</v>
      </c>
      <c r="E13" s="86"/>
      <c r="F13" s="145"/>
      <c r="G13" s="86"/>
    </row>
    <row r="14" spans="1:7" x14ac:dyDescent="0.25">
      <c r="A14" s="1"/>
      <c r="B14" s="85">
        <v>45566</v>
      </c>
      <c r="C14" s="72">
        <v>1014.8989673913043</v>
      </c>
      <c r="D14" s="72">
        <v>1121.0021739130434</v>
      </c>
      <c r="E14" s="86"/>
      <c r="F14" s="145"/>
      <c r="G14" s="86"/>
    </row>
    <row r="15" spans="1:7" x14ac:dyDescent="0.25">
      <c r="A15" s="1"/>
      <c r="B15" s="85">
        <v>45597</v>
      </c>
      <c r="C15" s="72">
        <v>1011.2801785714286</v>
      </c>
      <c r="D15" s="72">
        <v>1129.7822023809524</v>
      </c>
      <c r="E15" s="86"/>
      <c r="F15" s="145"/>
      <c r="G15" s="86"/>
    </row>
    <row r="16" spans="1:7" x14ac:dyDescent="0.25">
      <c r="A16" s="1"/>
      <c r="B16" s="85">
        <v>45627</v>
      </c>
      <c r="C16" s="72">
        <v>1000.967159090909</v>
      </c>
      <c r="D16" s="72">
        <v>1101.5797727272727</v>
      </c>
      <c r="E16" s="86"/>
      <c r="F16" s="145"/>
      <c r="G16" s="86"/>
    </row>
    <row r="17" spans="1:7" x14ac:dyDescent="0.25">
      <c r="A17" s="1"/>
      <c r="B17" s="85">
        <v>45658</v>
      </c>
      <c r="C17" s="72">
        <v>1230.0305434782608</v>
      </c>
      <c r="D17" s="72">
        <v>1042</v>
      </c>
      <c r="E17" s="86"/>
      <c r="F17" s="1"/>
      <c r="G17" s="1"/>
    </row>
    <row r="18" spans="1:7" x14ac:dyDescent="0.25">
      <c r="A18" s="1"/>
      <c r="B18" s="85">
        <v>45689</v>
      </c>
      <c r="C18" s="72">
        <v>1233.9045833333334</v>
      </c>
      <c r="D18" s="72">
        <v>1044</v>
      </c>
      <c r="E18" s="86"/>
      <c r="F18" s="1"/>
      <c r="G18" s="1"/>
    </row>
    <row r="19" spans="1:7" x14ac:dyDescent="0.25">
      <c r="A19" s="1"/>
      <c r="B19" s="85">
        <v>45717</v>
      </c>
      <c r="C19" s="72">
        <v>1238.6322023809523</v>
      </c>
      <c r="D19" s="72">
        <v>1085</v>
      </c>
      <c r="E19" s="86"/>
      <c r="F19" s="1"/>
      <c r="G19" s="1"/>
    </row>
    <row r="20" spans="1:7" x14ac:dyDescent="0.25">
      <c r="A20" s="1"/>
      <c r="B20" s="85">
        <v>45748</v>
      </c>
      <c r="C20" s="72">
        <v>1237.6176704545455</v>
      </c>
      <c r="D20" s="72">
        <v>1115</v>
      </c>
      <c r="E20" s="86"/>
      <c r="F20" s="1"/>
      <c r="G20" s="1"/>
    </row>
    <row r="21" spans="1:7" x14ac:dyDescent="0.25">
      <c r="A21" s="1"/>
      <c r="B21" s="85">
        <v>45778</v>
      </c>
      <c r="C21" s="72">
        <v>1235.9679347826086</v>
      </c>
      <c r="D21" s="72">
        <v>1132</v>
      </c>
      <c r="E21" s="86"/>
      <c r="F21" s="1"/>
      <c r="G21" s="1"/>
    </row>
    <row r="22" spans="1:7" x14ac:dyDescent="0.25">
      <c r="A22" s="1"/>
      <c r="B22" s="85">
        <v>45809</v>
      </c>
      <c r="C22" s="72">
        <v>1247.9076875000001</v>
      </c>
      <c r="D22" s="146" t="s">
        <v>289</v>
      </c>
      <c r="E22" s="86"/>
      <c r="F22" s="1"/>
      <c r="G22" s="1"/>
    </row>
    <row r="23" spans="1:7" x14ac:dyDescent="0.25">
      <c r="A23" s="1"/>
      <c r="B23" s="85">
        <v>45839</v>
      </c>
      <c r="C23" s="72">
        <v>1238.951847826087</v>
      </c>
      <c r="D23" s="146" t="s">
        <v>289</v>
      </c>
      <c r="E23" s="86"/>
      <c r="F23" s="1"/>
      <c r="G23" s="1"/>
    </row>
    <row r="24" spans="1:7" x14ac:dyDescent="0.25">
      <c r="A24" s="1"/>
      <c r="B24" s="85">
        <v>45870</v>
      </c>
      <c r="C24" s="72">
        <v>1234.2997282608696</v>
      </c>
      <c r="D24" s="146" t="s">
        <v>289</v>
      </c>
      <c r="E24" s="86"/>
      <c r="F24" s="1"/>
      <c r="G24" s="1"/>
    </row>
    <row r="25" spans="1:7" x14ac:dyDescent="0.25">
      <c r="A25" s="1"/>
      <c r="B25" s="85">
        <v>45901</v>
      </c>
      <c r="C25" s="72">
        <v>1248.7237500000001</v>
      </c>
      <c r="D25" s="146" t="s">
        <v>289</v>
      </c>
      <c r="E25" s="86"/>
      <c r="F25" s="1"/>
      <c r="G25" s="1"/>
    </row>
    <row r="26" spans="1:7" x14ac:dyDescent="0.25">
      <c r="A26" s="1"/>
      <c r="B26" s="85">
        <v>45931</v>
      </c>
      <c r="C26" s="72">
        <v>1249.8989673913043</v>
      </c>
      <c r="D26" s="146" t="s">
        <v>289</v>
      </c>
      <c r="E26" s="86"/>
      <c r="F26" s="1"/>
      <c r="G26" s="1"/>
    </row>
    <row r="27" spans="1:7" x14ac:dyDescent="0.25">
      <c r="A27" s="1"/>
      <c r="B27" s="85">
        <v>45962</v>
      </c>
      <c r="C27" s="72">
        <v>1246.2801785714287</v>
      </c>
      <c r="D27" s="146" t="s">
        <v>289</v>
      </c>
      <c r="E27" s="86"/>
      <c r="F27" s="1"/>
      <c r="G27" s="1"/>
    </row>
    <row r="28" spans="1:7" x14ac:dyDescent="0.25">
      <c r="A28" s="1"/>
      <c r="B28" s="87">
        <v>45992</v>
      </c>
      <c r="C28" s="100">
        <v>1235.967159090909</v>
      </c>
      <c r="D28" s="258" t="s">
        <v>289</v>
      </c>
      <c r="E28" s="86"/>
      <c r="F28" s="1"/>
      <c r="G28" s="1"/>
    </row>
    <row r="29" spans="1:7" x14ac:dyDescent="0.25">
      <c r="A29" s="1"/>
      <c r="B29" s="81"/>
      <c r="C29" s="1"/>
      <c r="D29" s="86"/>
      <c r="E29" s="1"/>
      <c r="F29" s="1"/>
      <c r="G29" s="1"/>
    </row>
    <row r="30" spans="1:7" x14ac:dyDescent="0.25">
      <c r="A30" s="1"/>
      <c r="B30" s="81"/>
      <c r="C30" s="1"/>
      <c r="D30" s="86"/>
      <c r="E30" s="1"/>
      <c r="F30" s="1"/>
      <c r="G30" s="1"/>
    </row>
    <row r="31" spans="1:7" x14ac:dyDescent="0.25">
      <c r="A31" s="247" t="s">
        <v>277</v>
      </c>
      <c r="B31" s="247"/>
      <c r="C31" s="15"/>
      <c r="D31" s="86"/>
      <c r="E31" s="1"/>
      <c r="F31" s="1"/>
      <c r="G31" s="1"/>
    </row>
    <row r="32" spans="1:7" x14ac:dyDescent="0.25">
      <c r="A32" s="81" t="s">
        <v>118</v>
      </c>
      <c r="B32" s="81"/>
      <c r="C32" s="110"/>
      <c r="D32" s="86"/>
      <c r="E32" s="1"/>
      <c r="F32" s="1"/>
      <c r="G32" s="1"/>
    </row>
    <row r="33" spans="1:7" x14ac:dyDescent="0.25">
      <c r="A33" s="1" t="s">
        <v>167</v>
      </c>
      <c r="B33" s="81"/>
      <c r="C33" s="1"/>
      <c r="D33" s="86"/>
      <c r="E33" s="1"/>
      <c r="F33" s="1"/>
      <c r="G33" s="1"/>
    </row>
    <row r="34" spans="1:7" x14ac:dyDescent="0.25">
      <c r="A34" s="1" t="s">
        <v>276</v>
      </c>
      <c r="B34" s="81"/>
      <c r="C34" s="110"/>
      <c r="D34" s="86"/>
      <c r="E34" s="1"/>
      <c r="F34" s="1"/>
      <c r="G34" s="1"/>
    </row>
    <row r="35" spans="1:7" x14ac:dyDescent="0.25">
      <c r="A35" s="1" t="s">
        <v>250</v>
      </c>
      <c r="B35" s="81"/>
      <c r="C35" s="1"/>
      <c r="D35" s="86"/>
      <c r="E35" s="1"/>
      <c r="F35" s="1"/>
      <c r="G35" s="1"/>
    </row>
    <row r="36" spans="1:7" x14ac:dyDescent="0.25">
      <c r="A36" s="1" t="s">
        <v>275</v>
      </c>
      <c r="B36" s="81"/>
      <c r="C36" s="1"/>
      <c r="D36" s="86"/>
      <c r="E36" s="1"/>
      <c r="F36" s="1"/>
      <c r="G36" s="1"/>
    </row>
    <row r="37" spans="1:7" x14ac:dyDescent="0.25">
      <c r="A37" s="1" t="s">
        <v>168</v>
      </c>
      <c r="B37" s="81"/>
      <c r="C37" s="1"/>
      <c r="D37" s="86"/>
      <c r="E37" s="1"/>
      <c r="F37" s="1"/>
      <c r="G37" s="1"/>
    </row>
    <row r="38" spans="1:7" x14ac:dyDescent="0.25">
      <c r="D38" s="21"/>
    </row>
    <row r="39" spans="1:7" x14ac:dyDescent="0.25">
      <c r="D39" s="21"/>
    </row>
    <row r="40" spans="1:7" x14ac:dyDescent="0.25">
      <c r="D40" s="21"/>
    </row>
  </sheetData>
  <mergeCells count="3">
    <mergeCell ref="B3:D3"/>
    <mergeCell ref="F3:G3"/>
    <mergeCell ref="A1:G1"/>
  </mergeCells>
  <pageMargins left="0.7" right="0.7" top="1.35" bottom="0.75" header="0.7" footer="0.3"/>
  <pageSetup scale="89" orientation="portrait" r:id="rId1"/>
  <headerFooter scaleWithDoc="0">
    <oddHeader>&amp;R&amp;"Times New Roman,Bold"&amp;8Docket No. 25-057-06
UAE Exhibit RR 1.3
Page 2 of 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0CBB-BEE3-4B31-921D-CCF80749D327}">
  <sheetPr>
    <pageSetUpPr fitToPage="1"/>
  </sheetPr>
  <dimension ref="A1:K53"/>
  <sheetViews>
    <sheetView topLeftCell="A10" zoomScaleNormal="100" workbookViewId="0">
      <selection activeCell="N10" sqref="N10"/>
    </sheetView>
  </sheetViews>
  <sheetFormatPr defaultRowHeight="15" x14ac:dyDescent="0.25"/>
  <cols>
    <col min="1" max="1" width="5.85546875" style="18" customWidth="1"/>
    <col min="2" max="2" width="39.5703125" style="18" customWidth="1"/>
    <col min="3" max="7" width="24.5703125" style="18" customWidth="1"/>
    <col min="8" max="8" width="23.5703125" style="18" customWidth="1"/>
    <col min="9" max="9" width="9.140625" style="18"/>
    <col min="10" max="11" width="12.85546875" style="18" bestFit="1" customWidth="1"/>
    <col min="12" max="16384" width="9.140625" style="18"/>
  </cols>
  <sheetData>
    <row r="1" spans="1:11" ht="18.75" x14ac:dyDescent="0.3">
      <c r="A1" s="270" t="s">
        <v>170</v>
      </c>
      <c r="B1" s="270"/>
      <c r="C1" s="270"/>
      <c r="D1" s="270"/>
      <c r="E1" s="270"/>
      <c r="F1" s="270"/>
      <c r="G1" s="270"/>
      <c r="H1" s="270"/>
    </row>
    <row r="2" spans="1:11" ht="30" x14ac:dyDescent="0.25">
      <c r="A2" s="164" t="s">
        <v>127</v>
      </c>
      <c r="B2" s="103" t="s">
        <v>2</v>
      </c>
      <c r="C2" s="103" t="s">
        <v>74</v>
      </c>
      <c r="D2" s="103" t="s">
        <v>76</v>
      </c>
      <c r="E2" s="103" t="s">
        <v>75</v>
      </c>
      <c r="F2" s="103" t="s">
        <v>77</v>
      </c>
      <c r="G2" s="103" t="s">
        <v>78</v>
      </c>
      <c r="H2" s="103" t="s">
        <v>125</v>
      </c>
    </row>
    <row r="3" spans="1:11" ht="18" x14ac:dyDescent="0.25">
      <c r="A3" s="103">
        <v>1</v>
      </c>
      <c r="B3" s="88"/>
      <c r="C3" s="88"/>
      <c r="D3" s="88"/>
      <c r="E3" s="88"/>
      <c r="F3" s="88"/>
      <c r="G3" s="162" t="s">
        <v>162</v>
      </c>
      <c r="H3" s="161">
        <f>'UAE RR 1.3, p. 2'!G10</f>
        <v>-0.10895892182147447</v>
      </c>
    </row>
    <row r="4" spans="1:11" x14ac:dyDescent="0.25">
      <c r="A4" s="88"/>
      <c r="B4" s="88"/>
      <c r="C4" s="88"/>
      <c r="D4" s="88"/>
      <c r="E4" s="88"/>
      <c r="F4" s="88"/>
      <c r="G4" s="88"/>
      <c r="H4" s="163"/>
    </row>
    <row r="5" spans="1:11" ht="65.25" customHeight="1" x14ac:dyDescent="0.25">
      <c r="A5" s="89">
        <v>2</v>
      </c>
      <c r="B5" s="132" t="s">
        <v>37</v>
      </c>
      <c r="C5" s="89" t="s">
        <v>114</v>
      </c>
      <c r="D5" s="89" t="s">
        <v>115</v>
      </c>
      <c r="E5" s="138" t="s">
        <v>128</v>
      </c>
      <c r="F5" s="89" t="s">
        <v>156</v>
      </c>
      <c r="G5" s="89" t="s">
        <v>157</v>
      </c>
      <c r="H5" s="89" t="s">
        <v>158</v>
      </c>
    </row>
    <row r="6" spans="1:11" x14ac:dyDescent="0.25">
      <c r="A6" s="90"/>
      <c r="B6" s="102"/>
      <c r="C6" s="105"/>
      <c r="D6" s="90"/>
      <c r="E6" s="103"/>
      <c r="F6" s="105"/>
      <c r="G6" s="104"/>
      <c r="H6" s="105"/>
    </row>
    <row r="7" spans="1:11" ht="18" x14ac:dyDescent="0.25">
      <c r="A7" s="90">
        <v>3</v>
      </c>
      <c r="B7" s="91" t="s">
        <v>133</v>
      </c>
      <c r="C7" s="126">
        <v>53773357</v>
      </c>
      <c r="D7" s="126">
        <f>D9*(C7/C9)</f>
        <v>56721099.236975044</v>
      </c>
      <c r="E7" s="88"/>
      <c r="F7" s="139">
        <f>D7+E7</f>
        <v>56721099.236975044</v>
      </c>
      <c r="G7" s="139">
        <f>F7</f>
        <v>56721099.236975044</v>
      </c>
      <c r="H7" s="150">
        <f>G7*$H$3</f>
        <v>-6180269.8173896596</v>
      </c>
    </row>
    <row r="8" spans="1:11" ht="18" x14ac:dyDescent="0.25">
      <c r="A8" s="90">
        <v>4</v>
      </c>
      <c r="B8" s="91" t="s">
        <v>155</v>
      </c>
      <c r="C8" s="147">
        <v>3483715</v>
      </c>
      <c r="D8" s="147">
        <f>D9-D7</f>
        <v>3674684.9230249599</v>
      </c>
      <c r="E8" s="88"/>
      <c r="F8" s="148">
        <f t="shared" ref="F8:F21" si="0">D8+E8</f>
        <v>3674684.9230249599</v>
      </c>
      <c r="G8" s="148">
        <v>0</v>
      </c>
      <c r="H8" s="151">
        <f>G8*$H$3</f>
        <v>0</v>
      </c>
    </row>
    <row r="9" spans="1:11" ht="18" x14ac:dyDescent="0.25">
      <c r="A9" s="90">
        <v>5</v>
      </c>
      <c r="B9" s="130" t="s">
        <v>134</v>
      </c>
      <c r="C9" s="126">
        <f>SUM(C7:C8)</f>
        <v>57257072</v>
      </c>
      <c r="D9" s="127">
        <v>60395784.160000004</v>
      </c>
      <c r="E9" s="88"/>
      <c r="F9" s="139">
        <f t="shared" si="0"/>
        <v>60395784.160000004</v>
      </c>
      <c r="G9" s="139">
        <f>SUM(G7:G8)</f>
        <v>56721099.236975044</v>
      </c>
      <c r="H9" s="150">
        <f>SUM(H7:H8)</f>
        <v>-6180269.8173896596</v>
      </c>
    </row>
    <row r="10" spans="1:11" x14ac:dyDescent="0.25">
      <c r="A10" s="90"/>
      <c r="B10" s="91"/>
      <c r="C10" s="126"/>
      <c r="D10" s="127"/>
      <c r="E10" s="88"/>
      <c r="F10" s="139"/>
      <c r="G10" s="139"/>
      <c r="H10" s="150"/>
    </row>
    <row r="11" spans="1:11" ht="18" x14ac:dyDescent="0.25">
      <c r="A11" s="90">
        <v>6</v>
      </c>
      <c r="B11" s="91" t="s">
        <v>135</v>
      </c>
      <c r="C11" s="126">
        <v>6213621</v>
      </c>
      <c r="D11" s="126">
        <v>6400029.6299999999</v>
      </c>
      <c r="E11" s="135">
        <f>'UAE RR 1.2, p. 2'!L9</f>
        <v>-3222453.8954904517</v>
      </c>
      <c r="F11" s="139">
        <f>D11+E11</f>
        <v>3177575.7345095482</v>
      </c>
      <c r="G11" s="139">
        <f>F11</f>
        <v>3177575.7345095482</v>
      </c>
      <c r="H11" s="150">
        <f>G11*$H$3</f>
        <v>-346225.22603824019</v>
      </c>
      <c r="J11" s="125"/>
      <c r="K11" s="125"/>
    </row>
    <row r="12" spans="1:11" ht="18" x14ac:dyDescent="0.25">
      <c r="A12" s="90">
        <v>7</v>
      </c>
      <c r="B12" s="91" t="s">
        <v>136</v>
      </c>
      <c r="C12" s="126">
        <v>270000</v>
      </c>
      <c r="D12" s="126">
        <v>278100</v>
      </c>
      <c r="E12" s="88"/>
      <c r="F12" s="139">
        <f t="shared" si="0"/>
        <v>278100</v>
      </c>
      <c r="G12" s="139">
        <f>F12</f>
        <v>278100</v>
      </c>
      <c r="H12" s="150">
        <f t="shared" ref="H12:H21" si="1">G12*$H$3</f>
        <v>-30301.47615855205</v>
      </c>
    </row>
    <row r="13" spans="1:11" x14ac:dyDescent="0.25">
      <c r="A13" s="90"/>
      <c r="B13" s="91"/>
      <c r="C13" s="126"/>
      <c r="D13" s="137"/>
      <c r="E13" s="88"/>
      <c r="F13" s="139"/>
      <c r="G13" s="139"/>
      <c r="H13" s="150"/>
    </row>
    <row r="14" spans="1:11" ht="18" x14ac:dyDescent="0.25">
      <c r="A14" s="90">
        <v>8</v>
      </c>
      <c r="B14" s="91" t="s">
        <v>139</v>
      </c>
      <c r="C14" s="126">
        <v>0</v>
      </c>
      <c r="D14" s="126">
        <v>0</v>
      </c>
      <c r="E14" s="88"/>
      <c r="F14" s="139">
        <f t="shared" si="0"/>
        <v>0</v>
      </c>
      <c r="G14" s="139">
        <v>0</v>
      </c>
      <c r="H14" s="150">
        <f t="shared" si="1"/>
        <v>0</v>
      </c>
    </row>
    <row r="15" spans="1:11" ht="18" x14ac:dyDescent="0.25">
      <c r="A15" s="90">
        <v>9</v>
      </c>
      <c r="B15" s="91" t="s">
        <v>140</v>
      </c>
      <c r="C15" s="126">
        <v>9138894</v>
      </c>
      <c r="D15" s="127">
        <f>C15*1.03</f>
        <v>9413060.8200000003</v>
      </c>
      <c r="E15" s="88"/>
      <c r="F15" s="139">
        <f t="shared" si="0"/>
        <v>9413060.8200000003</v>
      </c>
      <c r="G15" s="139">
        <f>F15</f>
        <v>9413060.8200000003</v>
      </c>
      <c r="H15" s="150">
        <f t="shared" si="1"/>
        <v>-1025636.9579871644</v>
      </c>
    </row>
    <row r="16" spans="1:11" ht="18" x14ac:dyDescent="0.25">
      <c r="A16" s="90">
        <v>10</v>
      </c>
      <c r="B16" s="91" t="s">
        <v>144</v>
      </c>
      <c r="C16" s="126">
        <v>3170031</v>
      </c>
      <c r="D16" s="127">
        <f t="shared" ref="D16:D19" si="2">C16*1.03</f>
        <v>3265131.93</v>
      </c>
      <c r="E16" s="88"/>
      <c r="F16" s="139">
        <f>D16+E16</f>
        <v>3265131.93</v>
      </c>
      <c r="G16" s="139">
        <f>F16</f>
        <v>3265131.93</v>
      </c>
      <c r="H16" s="150">
        <f t="shared" si="1"/>
        <v>-355765.25469767005</v>
      </c>
    </row>
    <row r="17" spans="1:8" ht="18" x14ac:dyDescent="0.25">
      <c r="A17" s="90">
        <v>11</v>
      </c>
      <c r="B17" s="91" t="s">
        <v>141</v>
      </c>
      <c r="C17" s="126">
        <v>0</v>
      </c>
      <c r="D17" s="127">
        <f t="shared" si="2"/>
        <v>0</v>
      </c>
      <c r="E17" s="88"/>
      <c r="F17" s="139">
        <f t="shared" si="0"/>
        <v>0</v>
      </c>
      <c r="G17" s="139">
        <v>0</v>
      </c>
      <c r="H17" s="150">
        <f t="shared" si="1"/>
        <v>0</v>
      </c>
    </row>
    <row r="18" spans="1:8" ht="18" x14ac:dyDescent="0.25">
      <c r="A18" s="90">
        <v>12</v>
      </c>
      <c r="B18" s="91" t="s">
        <v>143</v>
      </c>
      <c r="C18" s="126">
        <v>88458</v>
      </c>
      <c r="D18" s="127">
        <f t="shared" si="2"/>
        <v>91111.74</v>
      </c>
      <c r="E18" s="88"/>
      <c r="F18" s="139">
        <f t="shared" si="0"/>
        <v>91111.74</v>
      </c>
      <c r="G18" s="139">
        <f>F18</f>
        <v>91111.74</v>
      </c>
      <c r="H18" s="150">
        <f t="shared" si="1"/>
        <v>-9927.4369556785095</v>
      </c>
    </row>
    <row r="19" spans="1:8" ht="18" x14ac:dyDescent="0.25">
      <c r="A19" s="90">
        <v>13</v>
      </c>
      <c r="B19" s="91" t="s">
        <v>142</v>
      </c>
      <c r="C19" s="126">
        <v>834890</v>
      </c>
      <c r="D19" s="127">
        <f t="shared" si="2"/>
        <v>859936.70000000007</v>
      </c>
      <c r="E19" s="88"/>
      <c r="F19" s="139">
        <f>D19+E19</f>
        <v>859936.70000000007</v>
      </c>
      <c r="G19" s="139">
        <f>F19*H44</f>
        <v>327746.36034629267</v>
      </c>
      <c r="H19" s="150">
        <f t="shared" si="1"/>
        <v>-35710.890054244504</v>
      </c>
    </row>
    <row r="20" spans="1:8" x14ac:dyDescent="0.25">
      <c r="A20" s="90"/>
      <c r="B20" s="91"/>
      <c r="C20" s="127"/>
      <c r="D20" s="127"/>
      <c r="E20" s="88"/>
      <c r="F20" s="139"/>
      <c r="G20" s="139"/>
      <c r="H20" s="150"/>
    </row>
    <row r="21" spans="1:8" ht="18" x14ac:dyDescent="0.25">
      <c r="A21" s="90">
        <v>14</v>
      </c>
      <c r="B21" s="91" t="s">
        <v>147</v>
      </c>
      <c r="C21" s="126">
        <v>19291185</v>
      </c>
      <c r="D21" s="126">
        <v>19869920.679185316</v>
      </c>
      <c r="E21" s="136">
        <f>'UAE RR 1.2, p. 2'!L11</f>
        <v>-21067.384070844848</v>
      </c>
      <c r="F21" s="139">
        <f t="shared" si="0"/>
        <v>19848853.295114473</v>
      </c>
      <c r="G21" s="139">
        <v>0</v>
      </c>
      <c r="H21" s="150">
        <f t="shared" si="1"/>
        <v>0</v>
      </c>
    </row>
    <row r="22" spans="1:8" x14ac:dyDescent="0.25">
      <c r="A22" s="90"/>
      <c r="B22" s="91"/>
      <c r="C22" s="128"/>
      <c r="D22" s="127"/>
      <c r="E22" s="88"/>
      <c r="F22" s="139"/>
      <c r="G22" s="139"/>
      <c r="H22" s="150"/>
    </row>
    <row r="23" spans="1:8" x14ac:dyDescent="0.25">
      <c r="A23" s="92">
        <v>15</v>
      </c>
      <c r="B23" s="133" t="s">
        <v>38</v>
      </c>
      <c r="C23" s="129">
        <f>SUM(C9,C11,C12,C14:C19,C21)</f>
        <v>96264151</v>
      </c>
      <c r="D23" s="129">
        <f t="shared" ref="D23:E23" si="3">SUM(D9,D11,D12,D14:D19,D21)</f>
        <v>100573075.65918534</v>
      </c>
      <c r="E23" s="131">
        <f t="shared" si="3"/>
        <v>-3243521.2795612966</v>
      </c>
      <c r="F23" s="129">
        <f>SUM(F9,F11,F12,F14:F19,F21)</f>
        <v>97329554.379624024</v>
      </c>
      <c r="G23" s="129">
        <f>SUM(G9,G11,G12,G14:G19,G21)</f>
        <v>73273825.821830884</v>
      </c>
      <c r="H23" s="152">
        <f>SUM(H9,H11,H12,H14:H19,H21)</f>
        <v>-7983837.0592812086</v>
      </c>
    </row>
    <row r="24" spans="1:8" x14ac:dyDescent="0.25">
      <c r="A24" s="88"/>
      <c r="B24" s="88"/>
      <c r="C24" s="88"/>
      <c r="D24" s="88"/>
      <c r="E24" s="88"/>
      <c r="G24" s="159"/>
      <c r="H24" s="159"/>
    </row>
    <row r="25" spans="1:8" x14ac:dyDescent="0.25">
      <c r="A25" s="103">
        <v>16</v>
      </c>
      <c r="B25" s="88"/>
      <c r="C25" s="88"/>
      <c r="D25" s="88"/>
      <c r="E25" s="88"/>
      <c r="F25" s="271" t="s">
        <v>124</v>
      </c>
      <c r="G25" s="272"/>
      <c r="H25" s="273"/>
    </row>
    <row r="26" spans="1:8" ht="18" x14ac:dyDescent="0.25">
      <c r="A26" s="103">
        <v>17</v>
      </c>
      <c r="B26" s="88"/>
      <c r="C26" s="88"/>
      <c r="D26" s="88"/>
      <c r="E26" s="154"/>
      <c r="F26" s="91" t="s">
        <v>149</v>
      </c>
      <c r="G26" s="88"/>
      <c r="H26" s="134">
        <f>'UAE RR 1.1, p. 2'!F16</f>
        <v>5586000.1692877188</v>
      </c>
    </row>
    <row r="27" spans="1:8" ht="18" x14ac:dyDescent="0.25">
      <c r="A27" s="103">
        <v>18</v>
      </c>
      <c r="B27" s="88"/>
      <c r="C27" s="88"/>
      <c r="D27" s="88"/>
      <c r="E27" s="88"/>
      <c r="F27" s="91" t="s">
        <v>150</v>
      </c>
      <c r="G27" s="88"/>
      <c r="H27" s="155">
        <f>'UAE RR 1.2, p. 2'!L13</f>
        <v>-246517.72300501956</v>
      </c>
    </row>
    <row r="28" spans="1:8" ht="18" x14ac:dyDescent="0.25">
      <c r="A28" s="103">
        <v>19</v>
      </c>
      <c r="B28" s="88"/>
      <c r="C28" s="88"/>
      <c r="D28" s="88"/>
      <c r="E28" s="88"/>
      <c r="F28" s="91" t="s">
        <v>151</v>
      </c>
      <c r="G28" s="88"/>
      <c r="H28" s="156">
        <f>H26+H27</f>
        <v>5339482.4462826997</v>
      </c>
    </row>
    <row r="29" spans="1:8" ht="16.5" customHeight="1" x14ac:dyDescent="0.25">
      <c r="A29" s="103">
        <v>20</v>
      </c>
      <c r="B29" s="88"/>
      <c r="C29" s="124"/>
      <c r="D29" s="88"/>
      <c r="E29" s="149"/>
      <c r="F29" s="91" t="s">
        <v>163</v>
      </c>
      <c r="G29" s="88"/>
      <c r="H29" s="157">
        <f>H23/(F23-F21)</f>
        <v>-0.10304291194491255</v>
      </c>
    </row>
    <row r="30" spans="1:8" ht="18" customHeight="1" x14ac:dyDescent="0.25">
      <c r="A30" s="103">
        <v>21</v>
      </c>
      <c r="B30" s="88"/>
      <c r="C30" s="124"/>
      <c r="D30" s="88"/>
      <c r="E30" s="149"/>
      <c r="F30" s="93" t="s">
        <v>152</v>
      </c>
      <c r="G30" s="95"/>
      <c r="H30" s="158">
        <f>H28*H29</f>
        <v>-550195.81954371452</v>
      </c>
    </row>
    <row r="31" spans="1:8" x14ac:dyDescent="0.25">
      <c r="A31" s="103"/>
      <c r="B31" s="88"/>
      <c r="C31" s="124"/>
      <c r="D31" s="88"/>
      <c r="E31" s="149"/>
      <c r="F31" s="88"/>
      <c r="G31" s="88"/>
      <c r="H31" s="136"/>
    </row>
    <row r="32" spans="1:8" x14ac:dyDescent="0.25">
      <c r="A32" s="95" t="s">
        <v>35</v>
      </c>
      <c r="B32" s="95"/>
      <c r="C32" s="165"/>
      <c r="D32" s="88"/>
      <c r="E32" s="88"/>
      <c r="F32" s="88"/>
      <c r="G32" s="153"/>
      <c r="H32" s="88"/>
    </row>
    <row r="33" spans="1:8" x14ac:dyDescent="0.25">
      <c r="A33" s="88" t="s">
        <v>126</v>
      </c>
      <c r="B33" s="88"/>
      <c r="C33" s="88"/>
      <c r="D33" s="88"/>
      <c r="E33" s="88"/>
      <c r="F33" s="88"/>
      <c r="G33" s="153"/>
      <c r="H33" s="88"/>
    </row>
    <row r="34" spans="1:8" x14ac:dyDescent="0.25">
      <c r="A34" s="88" t="s">
        <v>129</v>
      </c>
      <c r="B34" s="88"/>
      <c r="C34" s="165"/>
      <c r="D34" s="88"/>
      <c r="E34" s="88"/>
      <c r="F34" s="88"/>
      <c r="G34" s="153"/>
      <c r="H34" s="88"/>
    </row>
    <row r="35" spans="1:8" x14ac:dyDescent="0.25">
      <c r="A35" s="88" t="s">
        <v>130</v>
      </c>
      <c r="B35" s="88"/>
      <c r="C35" s="88"/>
      <c r="D35" s="88"/>
      <c r="E35" s="88"/>
      <c r="F35" s="88"/>
      <c r="G35" s="153"/>
      <c r="H35" s="88"/>
    </row>
    <row r="36" spans="1:8" x14ac:dyDescent="0.25">
      <c r="A36" s="88" t="s">
        <v>278</v>
      </c>
      <c r="B36" s="88"/>
      <c r="C36" s="88"/>
      <c r="D36" s="88"/>
      <c r="E36" s="88"/>
      <c r="F36" s="88"/>
      <c r="G36" s="153"/>
      <c r="H36" s="88"/>
    </row>
    <row r="37" spans="1:8" x14ac:dyDescent="0.25">
      <c r="A37" s="88" t="s">
        <v>131</v>
      </c>
      <c r="B37" s="88"/>
      <c r="C37" s="88"/>
      <c r="D37" s="88"/>
      <c r="E37" s="88"/>
      <c r="F37" s="88"/>
      <c r="G37" s="153"/>
      <c r="H37" s="88"/>
    </row>
    <row r="38" spans="1:8" x14ac:dyDescent="0.25">
      <c r="A38" s="88" t="s">
        <v>132</v>
      </c>
      <c r="B38" s="88"/>
      <c r="C38" s="88"/>
      <c r="D38" s="88"/>
      <c r="E38" s="88"/>
      <c r="F38" s="88"/>
      <c r="G38" s="140">
        <f>93271490/102239973</f>
        <v>0.9122800726874214</v>
      </c>
    </row>
    <row r="39" spans="1:8" x14ac:dyDescent="0.25">
      <c r="A39" s="88" t="s">
        <v>279</v>
      </c>
      <c r="B39" s="88"/>
      <c r="C39" s="88"/>
      <c r="D39" s="88"/>
      <c r="E39" s="88"/>
      <c r="F39" s="88"/>
      <c r="G39" s="88"/>
      <c r="H39" s="88"/>
    </row>
    <row r="40" spans="1:8" x14ac:dyDescent="0.25">
      <c r="A40" s="88" t="s">
        <v>249</v>
      </c>
      <c r="B40" s="88"/>
      <c r="C40" s="88"/>
      <c r="D40" s="88"/>
      <c r="E40" s="88"/>
      <c r="F40" s="88"/>
      <c r="G40" s="88"/>
      <c r="H40" s="88"/>
    </row>
    <row r="41" spans="1:8" x14ac:dyDescent="0.25">
      <c r="A41" s="88" t="s">
        <v>137</v>
      </c>
      <c r="B41" s="88"/>
      <c r="C41" s="88"/>
      <c r="D41" s="88"/>
      <c r="E41" s="88"/>
      <c r="F41" s="94"/>
      <c r="G41" s="88"/>
      <c r="H41" s="88"/>
    </row>
    <row r="42" spans="1:8" x14ac:dyDescent="0.25">
      <c r="A42" s="88" t="s">
        <v>138</v>
      </c>
      <c r="B42" s="88"/>
      <c r="C42" s="88"/>
      <c r="D42" s="88"/>
      <c r="E42" s="88"/>
      <c r="F42" s="88"/>
      <c r="G42" s="88"/>
      <c r="H42" s="88"/>
    </row>
    <row r="43" spans="1:8" x14ac:dyDescent="0.25">
      <c r="A43" s="88" t="s">
        <v>145</v>
      </c>
      <c r="B43" s="88"/>
      <c r="C43" s="88"/>
      <c r="D43" s="88"/>
      <c r="E43" s="88"/>
      <c r="F43" s="88"/>
      <c r="G43" s="88"/>
      <c r="H43" s="88"/>
    </row>
    <row r="44" spans="1:8" x14ac:dyDescent="0.25">
      <c r="A44" s="88" t="s">
        <v>146</v>
      </c>
      <c r="B44" s="88"/>
      <c r="C44" s="88"/>
      <c r="D44" s="88"/>
      <c r="E44" s="88"/>
      <c r="F44" s="88"/>
      <c r="G44" s="88"/>
      <c r="H44" s="141">
        <f>(179215+505246)/(179215+505246+999616+111803)</f>
        <v>0.38112847183553467</v>
      </c>
    </row>
    <row r="45" spans="1:8" x14ac:dyDescent="0.25">
      <c r="A45" s="88" t="s">
        <v>148</v>
      </c>
      <c r="B45" s="88"/>
      <c r="C45" s="88"/>
      <c r="D45" s="88"/>
      <c r="E45" s="88"/>
      <c r="F45" s="88"/>
      <c r="G45" s="88"/>
      <c r="H45" s="141"/>
    </row>
    <row r="46" spans="1:8" x14ac:dyDescent="0.25">
      <c r="A46" s="88" t="s">
        <v>153</v>
      </c>
      <c r="B46" s="88"/>
      <c r="C46" s="88"/>
      <c r="D46" s="88"/>
      <c r="E46" s="88"/>
      <c r="F46" s="88"/>
      <c r="G46" s="88"/>
      <c r="H46" s="88"/>
    </row>
    <row r="47" spans="1:8" x14ac:dyDescent="0.25">
      <c r="A47" s="88" t="s">
        <v>169</v>
      </c>
      <c r="B47" s="88"/>
      <c r="C47" s="88"/>
      <c r="D47" s="88"/>
      <c r="E47" s="88"/>
      <c r="F47" s="88"/>
      <c r="G47" s="88"/>
      <c r="H47" s="88"/>
    </row>
    <row r="48" spans="1:8" x14ac:dyDescent="0.25">
      <c r="A48" s="88" t="s">
        <v>154</v>
      </c>
      <c r="B48" s="88"/>
      <c r="C48" s="88"/>
      <c r="D48" s="88"/>
      <c r="E48" s="88"/>
      <c r="F48" s="88"/>
      <c r="G48" s="88"/>
      <c r="H48" s="88"/>
    </row>
    <row r="53" spans="7:7" x14ac:dyDescent="0.25">
      <c r="G53" s="19"/>
    </row>
  </sheetData>
  <mergeCells count="2">
    <mergeCell ref="A1:H1"/>
    <mergeCell ref="F25:H25"/>
  </mergeCells>
  <pageMargins left="0.7" right="0.7" top="1.25" bottom="0.75" header="0.7" footer="0.3"/>
  <pageSetup scale="59" orientation="landscape" r:id="rId1"/>
  <headerFooter scaleWithDoc="0">
    <oddHeader>&amp;R&amp;"Times New Roman,Bold"&amp;8Docket No. 25-057-06
Exhibit UAE RR 1.3
Page 3 of 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45FE6-DF0B-46DF-BAA9-86C6E0D87AE6}">
  <sheetPr>
    <pageSetUpPr fitToPage="1"/>
  </sheetPr>
  <dimension ref="A1:F62"/>
  <sheetViews>
    <sheetView zoomScaleNormal="100" workbookViewId="0">
      <selection activeCell="I47" sqref="I47"/>
    </sheetView>
  </sheetViews>
  <sheetFormatPr defaultRowHeight="15" x14ac:dyDescent="0.25"/>
  <cols>
    <col min="1" max="1" width="6" customWidth="1"/>
    <col min="2" max="2" width="47.7109375" customWidth="1"/>
    <col min="3" max="4" width="21.140625" customWidth="1"/>
    <col min="5" max="5" width="23.5703125" customWidth="1"/>
    <col min="6" max="6" width="13.28515625" bestFit="1" customWidth="1"/>
  </cols>
  <sheetData>
    <row r="1" spans="1:5" ht="18.75" x14ac:dyDescent="0.3">
      <c r="A1" s="262" t="s">
        <v>205</v>
      </c>
      <c r="B1" s="262"/>
      <c r="C1" s="262"/>
      <c r="D1" s="262"/>
    </row>
    <row r="2" spans="1:5" x14ac:dyDescent="0.25">
      <c r="A2" s="1"/>
      <c r="B2" s="1"/>
      <c r="C2" s="1"/>
      <c r="D2" s="1"/>
    </row>
    <row r="3" spans="1:5" x14ac:dyDescent="0.25">
      <c r="A3" s="1"/>
      <c r="B3" s="1"/>
      <c r="C3" s="1"/>
      <c r="D3" s="1"/>
    </row>
    <row r="4" spans="1:5" x14ac:dyDescent="0.25">
      <c r="A4" s="1"/>
      <c r="B4" s="1"/>
      <c r="C4" s="2" t="s">
        <v>36</v>
      </c>
      <c r="D4" s="2" t="s">
        <v>0</v>
      </c>
    </row>
    <row r="5" spans="1:5" ht="9" customHeight="1" x14ac:dyDescent="0.25">
      <c r="A5" s="1"/>
      <c r="B5" s="1"/>
      <c r="C5" s="2"/>
      <c r="D5" s="2"/>
    </row>
    <row r="6" spans="1:5" ht="47.25" customHeight="1" x14ac:dyDescent="0.25">
      <c r="A6" s="3" t="s">
        <v>1</v>
      </c>
      <c r="B6" s="1"/>
      <c r="C6" s="2" t="s">
        <v>270</v>
      </c>
      <c r="D6" s="2" t="s">
        <v>270</v>
      </c>
    </row>
    <row r="7" spans="1:5" x14ac:dyDescent="0.25">
      <c r="A7" s="4"/>
      <c r="B7" s="1"/>
      <c r="C7" s="4" t="s">
        <v>2</v>
      </c>
      <c r="D7" s="4" t="s">
        <v>3</v>
      </c>
      <c r="E7" s="5"/>
    </row>
    <row r="8" spans="1:5" x14ac:dyDescent="0.25">
      <c r="A8" s="4">
        <v>1</v>
      </c>
      <c r="B8" s="1" t="s">
        <v>4</v>
      </c>
      <c r="C8" s="6"/>
      <c r="D8" s="6"/>
      <c r="E8" s="5"/>
    </row>
    <row r="9" spans="1:5" x14ac:dyDescent="0.25">
      <c r="A9" s="4">
        <v>2</v>
      </c>
      <c r="B9" s="7" t="s">
        <v>5</v>
      </c>
      <c r="C9" s="8">
        <v>0</v>
      </c>
      <c r="D9" s="8">
        <v>0</v>
      </c>
    </row>
    <row r="10" spans="1:5" x14ac:dyDescent="0.25">
      <c r="A10" s="4">
        <v>3</v>
      </c>
      <c r="B10" s="7" t="s">
        <v>6</v>
      </c>
      <c r="C10" s="8">
        <v>0</v>
      </c>
      <c r="D10" s="8">
        <v>0</v>
      </c>
    </row>
    <row r="11" spans="1:5" x14ac:dyDescent="0.25">
      <c r="A11" s="4">
        <v>4</v>
      </c>
      <c r="B11" s="7" t="s">
        <v>7</v>
      </c>
      <c r="C11" s="8">
        <v>0</v>
      </c>
      <c r="D11" s="8">
        <v>0</v>
      </c>
    </row>
    <row r="12" spans="1:5" x14ac:dyDescent="0.25">
      <c r="A12" s="4">
        <v>5</v>
      </c>
      <c r="B12" s="7" t="s">
        <v>8</v>
      </c>
      <c r="C12" s="8">
        <v>0</v>
      </c>
      <c r="D12" s="8">
        <v>0</v>
      </c>
    </row>
    <row r="13" spans="1:5" x14ac:dyDescent="0.25">
      <c r="A13" s="4">
        <v>6</v>
      </c>
      <c r="B13" s="7" t="s">
        <v>9</v>
      </c>
      <c r="C13" s="9">
        <v>0</v>
      </c>
      <c r="D13" s="9">
        <v>0</v>
      </c>
    </row>
    <row r="14" spans="1:5" x14ac:dyDescent="0.25">
      <c r="A14" s="4">
        <v>7</v>
      </c>
      <c r="B14" s="1" t="s">
        <v>10</v>
      </c>
      <c r="C14" s="8">
        <f>SUM(C9:C13)</f>
        <v>0</v>
      </c>
      <c r="D14" s="8">
        <f>SUM(D9:D13)</f>
        <v>0</v>
      </c>
    </row>
    <row r="15" spans="1:5" ht="9" customHeight="1" x14ac:dyDescent="0.25">
      <c r="A15" s="4"/>
      <c r="B15" s="1"/>
      <c r="C15" s="8"/>
      <c r="D15" s="8"/>
    </row>
    <row r="16" spans="1:5" x14ac:dyDescent="0.25">
      <c r="A16" s="4">
        <v>8</v>
      </c>
      <c r="B16" s="1" t="s">
        <v>11</v>
      </c>
      <c r="C16" s="8"/>
      <c r="D16" s="8"/>
    </row>
    <row r="17" spans="1:4" x14ac:dyDescent="0.25">
      <c r="A17" s="4">
        <v>9</v>
      </c>
      <c r="B17" s="7" t="s">
        <v>12</v>
      </c>
      <c r="C17" s="8"/>
      <c r="D17" s="8"/>
    </row>
    <row r="18" spans="1:4" x14ac:dyDescent="0.25">
      <c r="A18" s="4">
        <v>10</v>
      </c>
      <c r="B18" s="7" t="s">
        <v>13</v>
      </c>
      <c r="C18" s="8">
        <v>0</v>
      </c>
      <c r="D18" s="8">
        <v>0</v>
      </c>
    </row>
    <row r="19" spans="1:4" x14ac:dyDescent="0.25">
      <c r="A19" s="4">
        <v>11</v>
      </c>
      <c r="B19" s="7" t="s">
        <v>14</v>
      </c>
      <c r="C19" s="9">
        <v>0</v>
      </c>
      <c r="D19" s="9">
        <v>0</v>
      </c>
    </row>
    <row r="20" spans="1:4" x14ac:dyDescent="0.25">
      <c r="A20" s="4">
        <v>12</v>
      </c>
      <c r="B20" s="1" t="s">
        <v>15</v>
      </c>
      <c r="C20" s="8">
        <f>SUM(C18:C19)</f>
        <v>0</v>
      </c>
      <c r="D20" s="8">
        <f>SUM(D18:D19)</f>
        <v>0</v>
      </c>
    </row>
    <row r="21" spans="1:4" ht="9" customHeight="1" x14ac:dyDescent="0.25">
      <c r="A21" s="4"/>
      <c r="B21" s="1"/>
      <c r="C21" s="8"/>
      <c r="D21" s="8"/>
    </row>
    <row r="22" spans="1:4" x14ac:dyDescent="0.25">
      <c r="A22" s="4">
        <v>13</v>
      </c>
      <c r="B22" s="1" t="s">
        <v>16</v>
      </c>
      <c r="C22" s="34"/>
      <c r="D22" s="34"/>
    </row>
    <row r="23" spans="1:4" x14ac:dyDescent="0.25">
      <c r="A23" s="4">
        <v>14</v>
      </c>
      <c r="B23" s="7" t="s">
        <v>17</v>
      </c>
      <c r="C23" s="34">
        <v>0</v>
      </c>
      <c r="D23" s="34">
        <v>0</v>
      </c>
    </row>
    <row r="24" spans="1:4" x14ac:dyDescent="0.25">
      <c r="A24" s="4">
        <v>15</v>
      </c>
      <c r="B24" s="7" t="s">
        <v>82</v>
      </c>
      <c r="C24" s="34">
        <v>0</v>
      </c>
      <c r="D24" s="34">
        <v>0</v>
      </c>
    </row>
    <row r="25" spans="1:4" x14ac:dyDescent="0.25">
      <c r="A25" s="4">
        <v>16</v>
      </c>
      <c r="B25" s="7" t="s">
        <v>18</v>
      </c>
      <c r="C25" s="34">
        <v>0</v>
      </c>
      <c r="D25" s="34">
        <v>0</v>
      </c>
    </row>
    <row r="26" spans="1:4" x14ac:dyDescent="0.25">
      <c r="A26" s="4">
        <v>17</v>
      </c>
      <c r="B26" s="7" t="s">
        <v>19</v>
      </c>
      <c r="C26" s="34">
        <v>0</v>
      </c>
      <c r="D26" s="34">
        <v>0</v>
      </c>
    </row>
    <row r="27" spans="1:4" x14ac:dyDescent="0.25">
      <c r="A27" s="4">
        <v>18</v>
      </c>
      <c r="B27" s="7" t="s">
        <v>20</v>
      </c>
      <c r="C27" s="34">
        <v>0</v>
      </c>
      <c r="D27" s="34">
        <v>0</v>
      </c>
    </row>
    <row r="28" spans="1:4" x14ac:dyDescent="0.25">
      <c r="A28" s="4">
        <v>19</v>
      </c>
      <c r="B28" s="7" t="s">
        <v>21</v>
      </c>
      <c r="C28" s="34">
        <v>0</v>
      </c>
      <c r="D28" s="34">
        <v>0</v>
      </c>
    </row>
    <row r="29" spans="1:4" x14ac:dyDescent="0.25">
      <c r="A29" s="4">
        <v>20</v>
      </c>
      <c r="B29" s="1" t="s">
        <v>22</v>
      </c>
      <c r="C29" s="8">
        <f>SUM(C23:C28)</f>
        <v>0</v>
      </c>
      <c r="D29" s="8">
        <f>SUM(D23:D28)</f>
        <v>0</v>
      </c>
    </row>
    <row r="30" spans="1:4" ht="9" customHeight="1" x14ac:dyDescent="0.25">
      <c r="A30" s="4"/>
      <c r="B30" s="1"/>
      <c r="C30" s="8"/>
      <c r="D30" s="8"/>
    </row>
    <row r="31" spans="1:4" x14ac:dyDescent="0.25">
      <c r="A31" s="4">
        <v>21</v>
      </c>
      <c r="B31" s="1" t="s">
        <v>23</v>
      </c>
      <c r="C31" s="8"/>
      <c r="D31" s="8"/>
    </row>
    <row r="32" spans="1:4" x14ac:dyDescent="0.25">
      <c r="A32" s="4">
        <v>22</v>
      </c>
      <c r="B32" s="7" t="s">
        <v>24</v>
      </c>
      <c r="C32" s="120">
        <v>-265355.88414132595</v>
      </c>
      <c r="D32" s="8">
        <v>-258101.19650810957</v>
      </c>
    </row>
    <row r="33" spans="1:6" x14ac:dyDescent="0.25">
      <c r="A33" s="4">
        <v>23</v>
      </c>
      <c r="B33" s="7" t="s">
        <v>25</v>
      </c>
      <c r="C33" s="8">
        <v>0</v>
      </c>
      <c r="D33" s="8">
        <v>0</v>
      </c>
      <c r="E33" s="108"/>
    </row>
    <row r="34" spans="1:6" x14ac:dyDescent="0.25">
      <c r="A34" s="4">
        <v>24</v>
      </c>
      <c r="B34" s="7" t="s">
        <v>26</v>
      </c>
      <c r="C34" s="166">
        <v>104099.95796628296</v>
      </c>
      <c r="D34" s="9">
        <v>101253.9209163636</v>
      </c>
    </row>
    <row r="35" spans="1:6" x14ac:dyDescent="0.25">
      <c r="A35" s="4">
        <v>25</v>
      </c>
      <c r="B35" s="1" t="s">
        <v>27</v>
      </c>
      <c r="C35" s="8">
        <f>SUM(C32:C34)</f>
        <v>-161255.92617504299</v>
      </c>
      <c r="D35" s="8">
        <f>SUM(D32:D34)</f>
        <v>-156847.27559174597</v>
      </c>
    </row>
    <row r="36" spans="1:6" x14ac:dyDescent="0.25">
      <c r="A36" s="4"/>
      <c r="B36" s="1"/>
      <c r="C36" s="8"/>
      <c r="D36" s="8"/>
    </row>
    <row r="37" spans="1:6" ht="9" customHeight="1" x14ac:dyDescent="0.25">
      <c r="A37" s="4"/>
      <c r="B37" s="1"/>
      <c r="C37" s="8"/>
      <c r="D37" s="8"/>
    </row>
    <row r="38" spans="1:6" x14ac:dyDescent="0.25">
      <c r="A38" s="4">
        <v>26</v>
      </c>
      <c r="B38" s="1" t="s">
        <v>28</v>
      </c>
      <c r="C38" s="9">
        <f>C29+C35</f>
        <v>-161255.92617504299</v>
      </c>
      <c r="D38" s="9">
        <f>D29+D35</f>
        <v>-156847.27559174597</v>
      </c>
    </row>
    <row r="39" spans="1:6" ht="9" customHeight="1" x14ac:dyDescent="0.25">
      <c r="A39" s="4"/>
      <c r="B39" s="1"/>
      <c r="C39" s="8"/>
      <c r="D39" s="8"/>
    </row>
    <row r="40" spans="1:6" ht="9" customHeight="1" x14ac:dyDescent="0.25">
      <c r="A40" s="4"/>
      <c r="B40" s="1"/>
      <c r="C40" s="8"/>
      <c r="D40" s="8"/>
    </row>
    <row r="41" spans="1:6" ht="15.75" thickBot="1" x14ac:dyDescent="0.3">
      <c r="A41" s="4">
        <v>27</v>
      </c>
      <c r="B41" s="1" t="s">
        <v>29</v>
      </c>
      <c r="C41" s="10">
        <f>-C38</f>
        <v>161255.92617504299</v>
      </c>
      <c r="D41" s="10">
        <f>-D38</f>
        <v>156847.27559174597</v>
      </c>
    </row>
    <row r="42" spans="1:6" ht="9" customHeight="1" thickTop="1" x14ac:dyDescent="0.25">
      <c r="A42" s="4"/>
      <c r="B42" s="1"/>
      <c r="C42" s="11"/>
      <c r="D42" s="11"/>
    </row>
    <row r="43" spans="1:6" x14ac:dyDescent="0.25">
      <c r="A43" s="4">
        <v>28</v>
      </c>
      <c r="B43" s="1" t="s">
        <v>30</v>
      </c>
      <c r="C43" s="8">
        <v>-8037552.8965783119</v>
      </c>
      <c r="D43" s="8">
        <v>-7817810.5087714195</v>
      </c>
    </row>
    <row r="44" spans="1:6" ht="9" customHeight="1" x14ac:dyDescent="0.25">
      <c r="A44" s="4"/>
      <c r="B44" s="1"/>
      <c r="C44" s="11"/>
      <c r="D44" s="11"/>
    </row>
    <row r="45" spans="1:6" ht="18" x14ac:dyDescent="0.25">
      <c r="A45" s="4">
        <v>29</v>
      </c>
      <c r="B45" s="16" t="s">
        <v>87</v>
      </c>
      <c r="C45" s="11"/>
      <c r="D45" s="12">
        <v>1.3280297696283401</v>
      </c>
      <c r="E45" s="108"/>
      <c r="F45" s="17"/>
    </row>
    <row r="46" spans="1:6" ht="9" customHeight="1" x14ac:dyDescent="0.25">
      <c r="A46" s="4"/>
      <c r="B46" s="1"/>
      <c r="C46" s="11"/>
      <c r="D46" s="11"/>
    </row>
    <row r="47" spans="1:6" ht="18" x14ac:dyDescent="0.25">
      <c r="A47" s="4">
        <v>30</v>
      </c>
      <c r="B47" s="1" t="s">
        <v>31</v>
      </c>
      <c r="C47" s="11"/>
      <c r="D47" s="11">
        <f>D38*D45</f>
        <v>-208297.85127093917</v>
      </c>
    </row>
    <row r="48" spans="1:6" ht="9" customHeight="1" x14ac:dyDescent="0.25">
      <c r="A48" s="4"/>
      <c r="B48" s="1"/>
      <c r="C48" s="1"/>
      <c r="D48" s="1"/>
    </row>
    <row r="49" spans="1:4" ht="17.25" customHeight="1" x14ac:dyDescent="0.25">
      <c r="A49" s="4">
        <v>31</v>
      </c>
      <c r="B49" s="1" t="s">
        <v>32</v>
      </c>
      <c r="C49" s="1"/>
      <c r="D49" s="13">
        <v>7.6137274501427599E-2</v>
      </c>
    </row>
    <row r="50" spans="1:4" ht="9" customHeight="1" x14ac:dyDescent="0.25">
      <c r="A50" s="4"/>
      <c r="B50" s="1"/>
      <c r="C50" s="1"/>
      <c r="D50" s="1"/>
    </row>
    <row r="51" spans="1:4" ht="18" x14ac:dyDescent="0.25">
      <c r="A51" s="4">
        <v>32</v>
      </c>
      <c r="B51" s="1" t="s">
        <v>33</v>
      </c>
      <c r="C51" s="1"/>
      <c r="D51" s="8">
        <f>D43*D49*D45</f>
        <v>-790478.8897703574</v>
      </c>
    </row>
    <row r="52" spans="1:4" ht="9" customHeight="1" thickBot="1" x14ac:dyDescent="0.3">
      <c r="A52" s="4"/>
      <c r="B52" s="1"/>
      <c r="C52" s="1"/>
      <c r="D52" s="1"/>
    </row>
    <row r="53" spans="1:4" ht="18.75" thickBot="1" x14ac:dyDescent="0.3">
      <c r="A53" s="4">
        <v>33</v>
      </c>
      <c r="B53" s="1" t="s">
        <v>34</v>
      </c>
      <c r="C53" s="1"/>
      <c r="D53" s="14">
        <f>D47+D51</f>
        <v>-998776.74104129663</v>
      </c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5" t="s">
        <v>35</v>
      </c>
      <c r="B57" s="15"/>
      <c r="C57" s="15"/>
      <c r="D57" s="15"/>
    </row>
    <row r="58" spans="1:4" x14ac:dyDescent="0.25">
      <c r="A58" s="1" t="s">
        <v>88</v>
      </c>
      <c r="B58" s="1"/>
      <c r="C58" s="1"/>
      <c r="D58" s="1"/>
    </row>
    <row r="59" spans="1:4" x14ac:dyDescent="0.25">
      <c r="A59" s="1" t="s">
        <v>83</v>
      </c>
      <c r="B59" s="1"/>
      <c r="C59" s="1"/>
      <c r="D59" s="1"/>
    </row>
    <row r="60" spans="1:4" x14ac:dyDescent="0.25">
      <c r="A60" s="1" t="s">
        <v>272</v>
      </c>
      <c r="B60" s="1"/>
      <c r="C60" s="1"/>
      <c r="D60" s="1"/>
    </row>
    <row r="61" spans="1:4" x14ac:dyDescent="0.25">
      <c r="A61" s="1" t="s">
        <v>84</v>
      </c>
      <c r="B61" s="1"/>
      <c r="C61" s="1"/>
      <c r="D61" s="1"/>
    </row>
    <row r="62" spans="1:4" x14ac:dyDescent="0.25">
      <c r="A62" s="1" t="s">
        <v>85</v>
      </c>
      <c r="B62" s="1"/>
      <c r="C62" s="1"/>
      <c r="D62" s="1"/>
    </row>
  </sheetData>
  <mergeCells count="1">
    <mergeCell ref="A1:D1"/>
  </mergeCells>
  <printOptions horizontalCentered="1"/>
  <pageMargins left="0.7" right="0.7" top="1.35" bottom="0.75" header="0.7" footer="0.3"/>
  <pageSetup scale="78" orientation="portrait" r:id="rId1"/>
  <headerFooter scaleWithDoc="0">
    <oddHeader>&amp;R&amp;"Times New Roman,Bold"&amp;8Docket No. 25-057-06
UAE Exhibit RR 1.4
Page 1 of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8</vt:i4>
      </vt:variant>
    </vt:vector>
  </HeadingPairs>
  <TitlesOfParts>
    <vt:vector size="23" baseType="lpstr">
      <vt:lpstr>UAE RR 1.1, p. 1</vt:lpstr>
      <vt:lpstr>UAE RR 1.1, p. 2</vt:lpstr>
      <vt:lpstr>UAE RR 1.1, p. 3</vt:lpstr>
      <vt:lpstr>UAE RR 1.2, p. 1</vt:lpstr>
      <vt:lpstr>UAE RR 1.2, p. 2</vt:lpstr>
      <vt:lpstr>UAE RR 1.3, p. 1</vt:lpstr>
      <vt:lpstr>UAE RR 1.3, p. 2</vt:lpstr>
      <vt:lpstr>UAE RR 1.3, p. 3</vt:lpstr>
      <vt:lpstr>UAE RR 1.4, p. 1</vt:lpstr>
      <vt:lpstr>UAE RR 1.4, p. 2</vt:lpstr>
      <vt:lpstr>UAE RR 1.4, p. 3</vt:lpstr>
      <vt:lpstr>UAE RR 1.4, p. 4</vt:lpstr>
      <vt:lpstr>UAE RR 1.4, p. 5</vt:lpstr>
      <vt:lpstr>UAE RR 1.5, p. 1</vt:lpstr>
      <vt:lpstr>UAE RR 1.5, p. 2</vt:lpstr>
      <vt:lpstr>'UAE RR 1.1, p. 2'!Print_Area</vt:lpstr>
      <vt:lpstr>'UAE RR 1.1, p. 3'!Print_Area</vt:lpstr>
      <vt:lpstr>'UAE RR 1.2, p. 2'!Print_Area</vt:lpstr>
      <vt:lpstr>'UAE RR 1.4, p. 2'!Print_Area</vt:lpstr>
      <vt:lpstr>'UAE RR 1.4, p. 3'!Print_Area</vt:lpstr>
      <vt:lpstr>'UAE RR 1.4, p. 4'!Print_Area</vt:lpstr>
      <vt:lpstr>'UAE RR 1.4, p. 5'!Print_Area</vt:lpstr>
      <vt:lpstr>'UAE RR 1.5, p.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Higgins</dc:creator>
  <cp:lastModifiedBy>Justin Bieber</cp:lastModifiedBy>
  <cp:lastPrinted>2025-08-26T04:00:36Z</cp:lastPrinted>
  <dcterms:created xsi:type="dcterms:W3CDTF">2022-08-03T21:20:14Z</dcterms:created>
  <dcterms:modified xsi:type="dcterms:W3CDTF">2025-08-26T04:50:09Z</dcterms:modified>
</cp:coreProperties>
</file>